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Lucas\Desktop\OVCRI\Febuary 15th 2025\"/>
    </mc:Choice>
  </mc:AlternateContent>
  <xr:revisionPtr revIDLastSave="0" documentId="13_ncr:9_{DEDAF8DC-CF94-4284-BA58-63475856F0DD}" xr6:coauthVersionLast="47" xr6:coauthVersionMax="47" xr10:uidLastSave="{00000000-0000-0000-0000-000000000000}"/>
  <bookViews>
    <workbookView xWindow="-108" yWindow="-108" windowWidth="23256" windowHeight="12456" xr2:uid="{DEAF2353-D3AA-40FB-A428-9B501486E6CF}"/>
  </bookViews>
  <sheets>
    <sheet name="all_federal_opps" sheetId="1" r:id="rId1"/>
  </sheets>
  <calcPr calcId="0"/>
</workbook>
</file>

<file path=xl/calcChain.xml><?xml version="1.0" encoding="utf-8"?>
<calcChain xmlns="http://schemas.openxmlformats.org/spreadsheetml/2006/main">
  <c r="A117" i="1" l="1"/>
  <c r="A52" i="1"/>
  <c r="A114" i="1"/>
  <c r="A115" i="1"/>
  <c r="A116" i="1"/>
  <c r="A40" i="1"/>
  <c r="A113" i="1"/>
  <c r="A419" i="1"/>
  <c r="A479" i="1"/>
  <c r="A420" i="1"/>
  <c r="A421" i="1"/>
  <c r="A53" i="1"/>
  <c r="A480" i="1"/>
  <c r="A126" i="1"/>
  <c r="A125" i="1"/>
  <c r="A166" i="1"/>
  <c r="A64" i="1"/>
  <c r="A346" i="1"/>
  <c r="A27" i="1"/>
  <c r="A39" i="1"/>
  <c r="A136" i="1"/>
  <c r="A424" i="1"/>
  <c r="A574" i="1"/>
  <c r="A468" i="1"/>
  <c r="A660" i="1"/>
  <c r="A124" i="1"/>
  <c r="A210" i="1"/>
  <c r="A206" i="1"/>
  <c r="A368" i="1"/>
  <c r="A369" i="1"/>
  <c r="A177" i="1"/>
  <c r="A178" i="1"/>
  <c r="A179" i="1"/>
  <c r="A227" i="1"/>
  <c r="A233" i="1"/>
  <c r="A672" i="1"/>
  <c r="A176" i="1"/>
  <c r="A573" i="1"/>
  <c r="A570" i="1"/>
  <c r="A276" i="1"/>
  <c r="A249" i="1"/>
  <c r="A571" i="1"/>
  <c r="A271" i="1"/>
  <c r="A272" i="1"/>
  <c r="A273" i="1"/>
  <c r="A274" i="1"/>
  <c r="A275" i="1"/>
  <c r="A277" i="1"/>
  <c r="A250" i="1"/>
  <c r="A228" i="1"/>
  <c r="A69" i="1"/>
  <c r="A423" i="1"/>
  <c r="A675" i="1"/>
  <c r="A676" i="1"/>
  <c r="A87" i="1"/>
  <c r="A78" i="1"/>
  <c r="A71" i="1"/>
  <c r="A653" i="1"/>
  <c r="A73" i="1"/>
  <c r="A75" i="1"/>
  <c r="A208" i="1"/>
  <c r="A337" i="1"/>
  <c r="A338" i="1"/>
  <c r="A192" i="1"/>
  <c r="A339" i="1"/>
  <c r="A365" i="1"/>
  <c r="A469" i="1"/>
  <c r="A568" i="1"/>
  <c r="A106" i="1"/>
  <c r="A107" i="1"/>
  <c r="A108" i="1"/>
  <c r="A109" i="1"/>
  <c r="A110" i="1"/>
  <c r="A111" i="1"/>
  <c r="A112" i="1"/>
  <c r="A67" i="1"/>
  <c r="A251" i="1"/>
  <c r="A252" i="1"/>
  <c r="A253" i="1"/>
  <c r="A254" i="1"/>
  <c r="A88" i="1"/>
  <c r="A674" i="1"/>
  <c r="A200" i="1"/>
  <c r="A105" i="1"/>
  <c r="A174" i="1"/>
  <c r="A658" i="1"/>
  <c r="A122" i="1"/>
  <c r="A620" i="1"/>
  <c r="A146" i="1"/>
  <c r="A50" i="1"/>
  <c r="A255" i="1"/>
  <c r="A175" i="1"/>
  <c r="A256" i="1"/>
  <c r="A257" i="1"/>
  <c r="A190" i="1"/>
  <c r="A211" i="1"/>
  <c r="A204" i="1"/>
  <c r="A205" i="1"/>
  <c r="A187" i="1"/>
  <c r="A366" i="1"/>
  <c r="A367" i="1"/>
  <c r="A34" i="1"/>
  <c r="A188" i="1"/>
  <c r="A189" i="1"/>
  <c r="A191" i="1"/>
  <c r="A569" i="1"/>
  <c r="A269" i="1"/>
  <c r="A270" i="1"/>
  <c r="A258" i="1"/>
  <c r="A185" i="1"/>
  <c r="A231" i="1"/>
  <c r="A165" i="1"/>
  <c r="A183" i="1"/>
  <c r="A184" i="1"/>
  <c r="A199" i="1"/>
  <c r="A265" i="1"/>
  <c r="A266" i="1"/>
  <c r="A267" i="1"/>
  <c r="A268" i="1"/>
  <c r="A372" i="1"/>
  <c r="A198" i="1"/>
  <c r="A213" i="1"/>
  <c r="A321" i="1"/>
  <c r="A85" i="1"/>
  <c r="A334" i="1"/>
  <c r="A74" i="1"/>
  <c r="A151" i="1"/>
  <c r="A263" i="1"/>
  <c r="A264" i="1"/>
  <c r="A433" i="1"/>
  <c r="A673" i="1"/>
  <c r="A301" i="1"/>
  <c r="A171" i="1"/>
  <c r="A232" i="1"/>
  <c r="A345" i="1"/>
  <c r="A572" i="1"/>
  <c r="A81" i="1"/>
  <c r="A245" i="1"/>
  <c r="A246" i="1"/>
  <c r="A247" i="1"/>
  <c r="A465" i="1"/>
  <c r="A669" i="1"/>
  <c r="A302" i="1"/>
  <c r="A319" i="1"/>
  <c r="A320" i="1"/>
  <c r="A33" i="1"/>
  <c r="A172" i="1"/>
  <c r="A670" i="1"/>
  <c r="A209" i="1"/>
  <c r="A666" i="1"/>
  <c r="A3" i="1"/>
  <c r="A229" i="1"/>
  <c r="A4" i="1"/>
  <c r="A647" i="1"/>
  <c r="A460" i="1"/>
  <c r="A91" i="1"/>
  <c r="A97" i="1"/>
  <c r="A461" i="1"/>
  <c r="A99" i="1"/>
  <c r="A150" i="1"/>
  <c r="A100" i="1"/>
  <c r="A207" i="1"/>
  <c r="A152" i="1"/>
  <c r="A665" i="1"/>
  <c r="A466" i="1"/>
  <c r="A127" i="1"/>
  <c r="A128" i="1"/>
  <c r="A129" i="1"/>
  <c r="A668" i="1"/>
  <c r="A19" i="1"/>
  <c r="A298" i="1"/>
  <c r="A664" i="1"/>
  <c r="A160" i="1"/>
  <c r="A147" i="1"/>
  <c r="A148" i="1"/>
  <c r="A38" i="1"/>
  <c r="A14" i="1"/>
  <c r="A222" i="1"/>
  <c r="A612" i="1"/>
  <c r="A77" i="1"/>
  <c r="A155" i="1"/>
  <c r="A153" i="1"/>
  <c r="A156" i="1"/>
  <c r="A149" i="1"/>
  <c r="A422" i="1"/>
  <c r="A457" i="1"/>
  <c r="A173" i="1"/>
  <c r="A197" i="1"/>
  <c r="A212" i="1"/>
  <c r="A579" i="1"/>
  <c r="A364" i="1"/>
  <c r="A141" i="1"/>
  <c r="A462" i="1"/>
  <c r="A417" i="1"/>
  <c r="A261" i="1"/>
  <c r="A244" i="1"/>
  <c r="A242" i="1"/>
  <c r="A262" i="1"/>
  <c r="A49" i="1"/>
  <c r="A163" i="1"/>
  <c r="A84" i="1"/>
  <c r="A671" i="1"/>
  <c r="A388" i="1"/>
  <c r="A389" i="1"/>
  <c r="A259" i="1"/>
  <c r="A260" i="1"/>
  <c r="A643" i="1"/>
  <c r="A450" i="1"/>
  <c r="A186" i="1"/>
  <c r="A226" i="1"/>
  <c r="A221" i="1"/>
  <c r="A278" i="1"/>
  <c r="A279" i="1"/>
  <c r="A142" i="1"/>
  <c r="A143" i="1"/>
  <c r="A144" i="1"/>
  <c r="A145" i="1"/>
  <c r="A80" i="1"/>
  <c r="A237" i="1"/>
  <c r="A98" i="1"/>
  <c r="A162" i="1"/>
  <c r="A37" i="1"/>
  <c r="A72" i="1"/>
  <c r="A329" i="1"/>
  <c r="A330" i="1"/>
  <c r="A195" i="1"/>
  <c r="A196" i="1"/>
  <c r="A248" i="1"/>
  <c r="A220" i="1"/>
  <c r="A168" i="1"/>
  <c r="A322" i="1"/>
  <c r="A29" i="1"/>
  <c r="A280" i="1"/>
  <c r="A477" i="1"/>
  <c r="A219" i="1"/>
  <c r="A401" i="1"/>
  <c r="A618" i="1"/>
  <c r="A201" i="1"/>
  <c r="A23" i="1"/>
  <c r="A223" i="1"/>
  <c r="A202" i="1"/>
  <c r="A86" i="1"/>
  <c r="A161" i="1"/>
  <c r="A340" i="1"/>
  <c r="A193" i="1"/>
  <c r="A58" i="1"/>
  <c r="A291" i="1"/>
  <c r="A567" i="1"/>
  <c r="A235" i="1"/>
  <c r="A481" i="1"/>
  <c r="A347" i="1"/>
  <c r="A282" i="1"/>
  <c r="A323" i="1"/>
  <c r="A292" i="1"/>
  <c r="A154" i="1"/>
  <c r="A281" i="1"/>
  <c r="A89" i="1"/>
  <c r="A316" i="1"/>
  <c r="A449" i="1"/>
  <c r="A482" i="1"/>
  <c r="A483" i="1"/>
  <c r="A484" i="1"/>
  <c r="A203" i="1"/>
  <c r="A299" i="1"/>
  <c r="A24" i="1"/>
  <c r="A121" i="1"/>
  <c r="A225" i="1"/>
  <c r="A379" i="1"/>
  <c r="A25" i="1"/>
  <c r="A326" i="1"/>
  <c r="A26" i="1"/>
  <c r="A17" i="1"/>
  <c r="A95" i="1"/>
  <c r="A157" i="1"/>
  <c r="A443" i="1"/>
  <c r="A167" i="1"/>
  <c r="A565" i="1"/>
  <c r="A96" i="1"/>
  <c r="A613" i="1"/>
  <c r="A614" i="1"/>
  <c r="A308" i="1"/>
  <c r="A309" i="1"/>
  <c r="A416" i="1"/>
  <c r="A300" i="1"/>
  <c r="A293" i="1"/>
  <c r="A243" i="1"/>
  <c r="A452" i="1"/>
  <c r="A28" i="1"/>
  <c r="A399" i="1"/>
  <c r="A194" i="1"/>
  <c r="A16" i="1"/>
  <c r="A438" i="1"/>
  <c r="A374" i="1"/>
  <c r="A375" i="1"/>
  <c r="A139" i="1"/>
  <c r="A376" i="1"/>
  <c r="A377" i="1"/>
  <c r="A239" i="1"/>
  <c r="A240" i="1"/>
  <c r="A241" i="1"/>
  <c r="A180" i="1"/>
  <c r="A131" i="1"/>
  <c r="A224" i="1"/>
  <c r="A311" i="1"/>
  <c r="A348" i="1"/>
  <c r="A393" i="1"/>
  <c r="A349" i="1"/>
  <c r="A324" i="1"/>
  <c r="A325" i="1"/>
  <c r="A15" i="1"/>
  <c r="A654" i="1"/>
  <c r="A655" i="1"/>
  <c r="A656" i="1"/>
  <c r="A657" i="1"/>
  <c r="A238" i="1"/>
  <c r="A332" i="1"/>
  <c r="A294" i="1"/>
  <c r="A236" i="1"/>
  <c r="A13" i="1"/>
  <c r="A79" i="1"/>
  <c r="A295" i="1"/>
  <c r="A434" i="1"/>
  <c r="A20" i="1"/>
  <c r="A350" i="1"/>
  <c r="A351" i="1"/>
  <c r="A444" i="1"/>
  <c r="A378" i="1"/>
  <c r="A92" i="1"/>
  <c r="A395" i="1"/>
  <c r="A394" i="1"/>
  <c r="A218" i="1"/>
  <c r="A296" i="1"/>
  <c r="A303" i="1"/>
  <c r="A352" i="1"/>
  <c r="A170" i="1"/>
  <c r="A439" i="1"/>
  <c r="A68" i="1"/>
  <c r="A289" i="1"/>
  <c r="A169" i="1"/>
  <c r="A566" i="1"/>
  <c r="A390" i="1"/>
  <c r="A132" i="1"/>
  <c r="A333" i="1"/>
  <c r="A563" i="1"/>
  <c r="A135" i="1"/>
  <c r="A21" i="1"/>
  <c r="A312" i="1"/>
  <c r="A313" i="1"/>
  <c r="A564" i="1"/>
  <c r="A580" i="1"/>
  <c r="A290" i="1"/>
  <c r="A659" i="1"/>
  <c r="A70" i="1"/>
  <c r="A327" i="1"/>
  <c r="A328" i="1"/>
  <c r="A384" i="1"/>
  <c r="A65" i="1"/>
  <c r="A353" i="1"/>
  <c r="A283" i="1"/>
  <c r="A354" i="1"/>
  <c r="A284" i="1"/>
  <c r="A285" i="1"/>
  <c r="A286" i="1"/>
  <c r="A287" i="1"/>
  <c r="A288" i="1"/>
  <c r="A22" i="1"/>
  <c r="A46" i="1"/>
  <c r="A62" i="1"/>
  <c r="A485" i="1"/>
  <c r="A486" i="1"/>
  <c r="A487" i="1"/>
  <c r="A355" i="1"/>
  <c r="A470" i="1"/>
  <c r="A18" i="1"/>
  <c r="A310" i="1"/>
  <c r="A331" i="1"/>
  <c r="A383" i="1"/>
  <c r="A488" i="1"/>
  <c r="A435" i="1"/>
  <c r="A120" i="1"/>
  <c r="A396" i="1"/>
  <c r="A467" i="1"/>
  <c r="A30" i="1"/>
  <c r="A602" i="1"/>
  <c r="A644" i="1"/>
  <c r="A645" i="1"/>
  <c r="A453" i="1"/>
  <c r="A230" i="1"/>
  <c r="A489" i="1"/>
  <c r="A314" i="1"/>
  <c r="A315" i="1"/>
  <c r="A55" i="1"/>
  <c r="A382" i="1"/>
  <c r="A597" i="1"/>
  <c r="A370" i="1"/>
  <c r="A371" i="1"/>
  <c r="A397" i="1"/>
  <c r="A93" i="1"/>
  <c r="A458" i="1"/>
  <c r="A445" i="1"/>
  <c r="A578" i="1"/>
  <c r="A402" i="1"/>
  <c r="A446" i="1"/>
  <c r="A447" i="1"/>
  <c r="A475" i="1"/>
  <c r="A54" i="1"/>
  <c r="A611" i="1"/>
  <c r="A577" i="1"/>
  <c r="A490" i="1"/>
  <c r="A57" i="1"/>
  <c r="A463" i="1"/>
  <c r="A56" i="1"/>
  <c r="A138" i="1"/>
  <c r="A335" i="1"/>
  <c r="A451" i="1"/>
  <c r="A474" i="1"/>
  <c r="A214" i="1"/>
  <c r="A215" i="1"/>
  <c r="A216" i="1"/>
  <c r="A217" i="1"/>
  <c r="A473" i="1"/>
  <c r="A59" i="1"/>
  <c r="A491" i="1"/>
  <c r="A492" i="1"/>
  <c r="A493" i="1"/>
  <c r="A403" i="1"/>
  <c r="A494" i="1"/>
  <c r="A495" i="1"/>
  <c r="A404" i="1"/>
  <c r="A405" i="1"/>
  <c r="A406" i="1"/>
  <c r="A407" i="1"/>
  <c r="A408" i="1"/>
  <c r="A409" i="1"/>
  <c r="A410" i="1"/>
  <c r="A411" i="1"/>
  <c r="A412" i="1"/>
  <c r="A413" i="1"/>
  <c r="A414" i="1"/>
  <c r="A418" i="1"/>
  <c r="A392" i="1"/>
  <c r="A391" i="1"/>
  <c r="A385" i="1"/>
  <c r="A386" i="1"/>
  <c r="A387" i="1"/>
  <c r="A415" i="1"/>
  <c r="A398" i="1"/>
  <c r="A400" i="1"/>
  <c r="A234" i="1"/>
  <c r="A61" i="1"/>
  <c r="A440" i="1"/>
  <c r="A454" i="1"/>
  <c r="A464" i="1"/>
  <c r="A427" i="1"/>
  <c r="A496" i="1"/>
  <c r="A428" i="1"/>
  <c r="A101" i="1"/>
  <c r="A164" i="1"/>
  <c r="A373" i="1"/>
  <c r="A497" i="1"/>
  <c r="A498" i="1"/>
  <c r="A499" i="1"/>
  <c r="A500" i="1"/>
  <c r="A501" i="1"/>
  <c r="A663" i="1"/>
  <c r="A90" i="1"/>
  <c r="A502" i="1"/>
  <c r="A503" i="1"/>
  <c r="A667" i="1"/>
  <c r="A581" i="1"/>
  <c r="A504" i="1"/>
  <c r="A505" i="1"/>
  <c r="A506" i="1"/>
  <c r="A507" i="1"/>
  <c r="A508" i="1"/>
  <c r="A344" i="1"/>
  <c r="A341" i="1"/>
  <c r="A632" i="1"/>
  <c r="A31" i="1"/>
  <c r="A509" i="1"/>
  <c r="A510" i="1"/>
  <c r="A76" i="1"/>
  <c r="A511" i="1"/>
  <c r="A441" i="1"/>
  <c r="A363" i="1"/>
  <c r="A512" i="1"/>
  <c r="A513" i="1"/>
  <c r="A514" i="1"/>
  <c r="A515" i="1"/>
  <c r="A516" i="1"/>
  <c r="A517" i="1"/>
  <c r="A518" i="1"/>
  <c r="A519" i="1"/>
  <c r="A342" i="1"/>
  <c r="A32" i="1"/>
  <c r="A137" i="1"/>
  <c r="A133" i="1"/>
  <c r="A520" i="1"/>
  <c r="A521" i="1"/>
  <c r="A606" i="1"/>
  <c r="A522" i="1"/>
  <c r="A41" i="1"/>
  <c r="A436" i="1"/>
  <c r="A523" i="1"/>
  <c r="A471" i="1"/>
  <c r="A304" i="1"/>
  <c r="A524" i="1"/>
  <c r="A305" i="1"/>
  <c r="A306" i="1"/>
  <c r="A307" i="1"/>
  <c r="A525" i="1"/>
  <c r="A158" i="1"/>
  <c r="A317" i="1"/>
  <c r="A429" i="1"/>
  <c r="A448" i="1"/>
  <c r="A526" i="1"/>
  <c r="A356" i="1"/>
  <c r="A357" i="1"/>
  <c r="A297" i="1"/>
  <c r="A336" i="1"/>
  <c r="A318" i="1"/>
  <c r="A476" i="1"/>
  <c r="A430" i="1"/>
  <c r="A431" i="1"/>
  <c r="A527" i="1"/>
  <c r="A633" i="1"/>
  <c r="A528" i="1"/>
  <c r="A442" i="1"/>
  <c r="A358" i="1"/>
  <c r="A605" i="1"/>
  <c r="A634" i="1"/>
  <c r="A359" i="1"/>
  <c r="A47" i="1"/>
  <c r="A529" i="1"/>
  <c r="A360" i="1"/>
  <c r="A635" i="1"/>
  <c r="A530" i="1"/>
  <c r="A361" i="1"/>
  <c r="A531" i="1"/>
  <c r="A532" i="1"/>
  <c r="A603" i="1"/>
  <c r="A604" i="1"/>
  <c r="A437" i="1"/>
  <c r="A343" i="1"/>
  <c r="A362" i="1"/>
  <c r="A134" i="1"/>
  <c r="A181" i="1"/>
  <c r="A533" i="1"/>
  <c r="A609" i="1"/>
  <c r="A607" i="1"/>
  <c r="A459" i="1"/>
  <c r="A472" i="1"/>
  <c r="A5" i="1"/>
  <c r="A677" i="1"/>
  <c r="A455" i="1"/>
  <c r="A6" i="1"/>
  <c r="A7" i="1"/>
  <c r="A8" i="1"/>
  <c r="A9" i="1"/>
  <c r="A10" i="1"/>
  <c r="A11" i="1"/>
  <c r="A534" i="1"/>
  <c r="A636" i="1"/>
  <c r="A140" i="1"/>
  <c r="A637" i="1"/>
  <c r="A535" i="1"/>
  <c r="A638" i="1"/>
  <c r="A35" i="1"/>
  <c r="A639" i="1"/>
  <c r="A640" i="1"/>
  <c r="A536" i="1"/>
  <c r="A537" i="1"/>
  <c r="A63" i="1"/>
  <c r="A641" i="1"/>
  <c r="A538" i="1"/>
  <c r="A539" i="1"/>
  <c r="A478" i="1"/>
  <c r="A540" i="1"/>
  <c r="A51" i="1"/>
  <c r="A43" i="1"/>
  <c r="A541" i="1"/>
  <c r="A582" i="1"/>
  <c r="A48" i="1"/>
  <c r="A159" i="1"/>
  <c r="A576" i="1"/>
  <c r="A45" i="1"/>
  <c r="A130" i="1"/>
  <c r="A642" i="1"/>
  <c r="A44" i="1"/>
  <c r="A456" i="1"/>
  <c r="A542" i="1"/>
  <c r="A36" i="1"/>
  <c r="A595" i="1"/>
  <c r="A543" i="1"/>
  <c r="A544" i="1"/>
  <c r="A545" i="1"/>
  <c r="A380" i="1"/>
  <c r="A619" i="1"/>
  <c r="A546" i="1"/>
  <c r="A583" i="1"/>
  <c r="A624" i="1"/>
  <c r="A661" i="1"/>
  <c r="A584" i="1"/>
  <c r="A547" i="1"/>
  <c r="A548" i="1"/>
  <c r="A549" i="1"/>
  <c r="A550" i="1"/>
  <c r="A551" i="1"/>
  <c r="A552" i="1"/>
  <c r="A553" i="1"/>
  <c r="A554" i="1"/>
  <c r="A555" i="1"/>
  <c r="A585" i="1"/>
  <c r="A625" i="1"/>
  <c r="A586" i="1"/>
  <c r="A610" i="1"/>
  <c r="A381" i="1"/>
  <c r="A648" i="1"/>
  <c r="A626" i="1"/>
  <c r="A587" i="1"/>
  <c r="A596" i="1"/>
  <c r="A588" i="1"/>
  <c r="A556" i="1"/>
  <c r="A589" i="1"/>
  <c r="A118" i="1"/>
  <c r="A627" i="1"/>
  <c r="A60" i="1"/>
  <c r="A123" i="1"/>
  <c r="A42" i="1"/>
  <c r="A102" i="1"/>
  <c r="A646" i="1"/>
  <c r="A82" i="1"/>
  <c r="A83" i="1"/>
  <c r="A662" i="1"/>
  <c r="A119" i="1"/>
  <c r="A628" i="1"/>
  <c r="A425" i="1"/>
  <c r="A432" i="1"/>
  <c r="A557" i="1"/>
  <c r="A575" i="1"/>
  <c r="A590" i="1"/>
  <c r="A591" i="1"/>
  <c r="A617" i="1"/>
  <c r="A592" i="1"/>
  <c r="A615" i="1"/>
  <c r="A558" i="1"/>
  <c r="A598" i="1"/>
  <c r="A601" i="1"/>
  <c r="A593" i="1"/>
  <c r="A616" i="1"/>
  <c r="A66" i="1"/>
  <c r="A594" i="1"/>
  <c r="A649" i="1"/>
  <c r="A621" i="1"/>
  <c r="A622" i="1"/>
  <c r="A608" i="1"/>
  <c r="A103" i="1"/>
  <c r="A623" i="1"/>
  <c r="A104" i="1"/>
  <c r="A559" i="1"/>
  <c r="A12" i="1"/>
  <c r="A630" i="1"/>
  <c r="A631" i="1"/>
  <c r="A650" i="1"/>
  <c r="A651" i="1"/>
  <c r="A652" i="1"/>
  <c r="A599" i="1"/>
  <c r="A600" i="1"/>
  <c r="A560" i="1"/>
  <c r="A182" i="1"/>
  <c r="A561" i="1"/>
  <c r="A426" i="1"/>
  <c r="A629" i="1"/>
  <c r="A94" i="1"/>
  <c r="A562" i="1"/>
</calcChain>
</file>

<file path=xl/sharedStrings.xml><?xml version="1.0" encoding="utf-8"?>
<sst xmlns="http://schemas.openxmlformats.org/spreadsheetml/2006/main" count="3386" uniqueCount="2059">
  <si>
    <t>Cooperative Agreement affiliated Partner with Chesapeake Watershed Cooperative Ecosystem Studies Unit (CESU)</t>
  </si>
  <si>
    <t>DOI-USGS1</t>
  </si>
  <si>
    <t>Geological Survey</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</si>
  <si>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a participating partner of the Chesapeake Watershed Cooperative Ecosystem Studies Unit (CESU) Program.</t>
  </si>
  <si>
    <t>The US Geological Survey is offering a funding opportunity to a CESU partner for research in salt marsh processes, specifically developing techniques and understanding with regards to salt marsh change in estuarine environments, including but not limited to Chesapeake Bay. Research will encompass ecological and geomorphic change in response to sea level, land use, sediment supply, and/or restoration. Techniques will include remote sensing, numerical modeling, and/or field observations.</t>
  </si>
  <si>
    <t>Research and Development for Biological Control of Arundo Donax</t>
  </si>
  <si>
    <t>DOD-COE-ERDC</t>
  </si>
  <si>
    <t>Engineer Research and Development Center</t>
  </si>
  <si>
    <t>Others (see text field entitled "Additional Information on Eligibility" for clarification) This opportunity is restricted to non-federal partners of the Californian Cooperative Ecosystems Studies Unit (CESU).</t>
  </si>
  <si>
    <t xml:space="preserve">A. Short Description of Funding Opportunity
ERDC seeks applications for: evaluation of biological control for Arundo donax in southern California. There is potential for at least two distinct projects to arise from this opportunity, including determination of optimal release and monitoring strategies for A. donax biological controls, and evaluation of the impact of biological control on A. donax water-use efficiency, growth, and biomass allocation. 
B. Background
Giant cane is a large (4-8m tall) perennial grass native to western Asia and likely introduced into North America from Spain in the early 1500s, but now is widespread with considerable capacity for expansion in North America (Figure 1; Moran and Goolsby 2022). Reproduction is solely clonal in the US and occurs through extensive rhizome networks or fragmentation. Large knotty rhizomes form underground masses up to three feet thick and provide a source of regrowth following management. Giant cane infests disturbed habitats near water and is particularly harmful in arid environments where it outcompetes other species and has extremely high water-use (Figure 2) (Seawright et al. 2009, Racelis et al. 2012, Goolsby et al. 2016). In fact, giant cane was estimated to transpire 56,200 acre-feet of water per year on the Santa Ana River alone, which equates to serving approximately 190,000 people in an area known for droughts and at a potential municipal cost of $25M in lost water (Iverson 1993).
Figure 1. Habitat suitability for Arundo donax in the US, based on model outputs from INHABIT (USGS). (See FOA)
Costs of giant cane management near Los Angeles can exceed $250K per acre, due to the effort required for repeated herbicide applications, then subsequent biomass and sediment management. Giant cane infestations have reduced the channel conveyance capacity of the Los Angeles River (at the Glendale neighborhood) from a 25-year storm event to a 2-year storm event where it impacts over 6000 people and risks $1B in property value. There is interest in using biological control as a sustaining management tool for giant cane in California, but a lack of information about whether agents could be used under the conditions present in project areas has prevented its widespread implementation.
Figure 2. Representative giant cane infestations within the SPL AOR A) Los Angeles River at Glendale Narrows, B) Whittier Narrows, C) Santa Ana River, D) Rio Hondo. (See FOA)
Two biological control agents are approved to manage giant cane in California (Figure 3): Tetramesa romana, the Arundo gall wasp, and Rhizaspidiotus donacis, the Arundo armored scale (CAL-IPC 2020). Both agents are established in the US and have been used to successfully control giant cane infestations in Texas (Goolsby et al. 2014, Goolsby et al. 2016). Additional releases and control monitoring is ongoing in northern California but, to date, there is insufficient data to inform their use in Southern California. It has been suggested that biological control of giant cane will be most successful in areas with sufficient warming days (Marshall et al. 2018). A previous assessment found Ventura/ Oxnard, CA to have relatively low number of warming days compared to locations in south Texas where control has been successful, but other warmer locations in California, such as parts of Los Angeles County, may be better suited for a biological control program. 
C. Program Description/Objective: 
The following objectives summarize the work for a maximum of three (3) unique, stand-alone projects. Over the life of the cooperative agreement (5 years), it is anticipated that 3 projects would be completed.
Objective 1: Investigator will collaborate with ERDC researchers to develop a biological control plan to investigate the types and magnitudes of control for giant cane. 
Objective 2: Determine best Arundo donax biological control release and establishment approach through either 1) natural increase of incidental populations, 2) traditional release-and-wait types of programs, or 3) inundative releases. 
Objective 3: Determine impact of biological control on Arundo donax metrics that are relevant to invasive species management and flood conveyence, to potentially include giant cane stem density, water use / transpiration, vegetation diversity, plant stature, and control agent dispersal related to flooding. Partner will work with ERDC to compile results, conduct statistical analysis, and synthesize into guidance document.
 </t>
  </si>
  <si>
    <t>Cooperative Agreement for affiliated Partner with Colorado Plateau Cooperative Ecosystem Studies Unit (CESU)</t>
  </si>
  <si>
    <t>Others (see text field entitled "Additional Information on Eligibility" for clarification) This financial assistance opportunity is being issued under a Cooperative Ecosystem Studies Unit (CESU) Program. CESUs are partnerships that provide research, technical assistance, and education. Eligible recipients must be a participating partner of the Colorado Plateau Cooperative Ecosystem Studies Unit (CESU) Program.</t>
  </si>
  <si>
    <t>The US Geological Survey Southwest Biological Science Center (SBSC) is offering a funding opportunity to a CESU Partner to provide research for ecohydrological simulation that quantifies past and potential future patterns of ecologically-relevant drought conditions in dryland ecosystems.</t>
  </si>
  <si>
    <t>Cooperative Agreement for affiliated Partner with The Pacific Northwest Cooperative Ecosystem Studies Unit (CESU)</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</si>
  <si>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a participating partner of the Pacific Northwest Cooperative Ecosystem Studies Unit (CESU) Program.</t>
  </si>
  <si>
    <t>The US Geological Survey (USGS) Western Fisheries Research Center in partnership with US Environmental Protection Agency Region 10 is offering a funding opportunity to a CESU Partner for research to provide a better understanding of the bioavailability and tissue distribution in salmon of organic chemicals in found in stormwater runoff including N-(1,3-dimethylbutyl)-N'-phenyl-p-phenylenediamine (6PPD-quinone). This research will help characterize the toxicological mechanisms related to impacts of stormwater runoff on salmon health in the Pacific Northwest (PNW). Research studies would include the implementation of high-resolution mass spectroscopy techniques to quantitate the potential bioaccumulation and related tissue burden of organic pollutants in salmon tissues. This includes the improvement of analytical method sensitivity and reproducibility for 6PPD-quinone and similarly structured tire derived contaminants. A related task would include the characterization and update of tire derived contaminants that are leached from ingested tire wear particles found in streams and creeks due to stormwater runoff as well as assessing the stability of tire derived transformation products. This research will inform researchers and managers about the relative distribution, fate and toxicity of these compounds and related metabolic transformation pathway products for assessing species-specific sensitivities in salmon.</t>
  </si>
  <si>
    <t>Cooperative Agreement for affiliated Partner with Pacific Northwest Forest Cooperative Ecosystem Studies Unit (CESU)</t>
  </si>
  <si>
    <t>The US Geological Surveyâ€™s Western Fisheries Research Center is offering a funding opportunity to a CESU Partner for research to provide a better understanding for the hazard relationships of the tire derived transformation product N-(1,3-dimethylbutyl)-N'-phenyl-p-phenylenediamine (6PPD)-quinone with that of other tire chemicals found in stormwater runoff. 6PPD-quinone is the causative agent for pre-spawn mortality of coho salmon in what is now referred to as Urban Runoff Mortality Syndrome (Tian et al. 2021, 2022). Little is known about the overall effects of tire-derived chemical mixtures that are found in stormwater on salmon health. This research is being conducted to understand potential synergistic effects of these chemicals of fish health. Research studies would include survival studies to understand the impact of environmentally measurable levels of tire-derived chemicals. This includes the ability to verify chemical concentrations so that they are consistent with environmentally measurable levels in stormwater. The second major component for addressing hazard relationships would be the inclusion of sublethal chemical exposure studies that could assess the relative fitness of salmon using swim performance studies or related methods.</t>
  </si>
  <si>
    <t>Fiscal Year (FY) 2025 INnovations in Qubit Science for Fault Tolerant Quantum Computing (INQS) Program</t>
  </si>
  <si>
    <t>DOD-AFOSR</t>
  </si>
  <si>
    <t>Air Force Office of Scientific Research</t>
  </si>
  <si>
    <t>Others (see text field entitled "Additional Information on Eligibility" for clarification) See announcement for additional information on eligibility</t>
  </si>
  <si>
    <t xml:space="preserve">The INQS program is a collaboration between AFOSR and LPS, and we seek revolutionary qubit approaches to quantum computation that have the potential to significantly advance scalable fault-tolerant quantum computing (FTQC) beyond current state-of-the-art methods.  
This Notice of Funding Opportunity (NOFO) invites proposals for basic research into solid-state qubits for quantum computing at various stages of maturity. Qubits of interest may support one or more of the required functions in a FTQC system. These functions may include, but are not limited to, data processing, memory storage, communication, spectator roles, or measurement. Proposals should clearly address: (1) the function(s) the qubit is expected to serve, (2) how it can be integrated into a plausible FTQC system, and (3) its potential to advance toward qubits suitable for FTQC. Furthermore, proposals must align with one of the following themes: 
Theme 1: New Qubits 
This theme explores completely novel or underdeveloped qubits that have both a credible research path toward utility in an FTQC system and promising advantages over current state-of-the-art methods.  
Theme 2: Renew Qubits 
This theme focuses on applying unconventional approachesâ€”such as novel qubit operation techniques, fabrication methods, or designsâ€”to significantly advance specific qubit functions in state-of-the-art quantum processors1 for utility in plausible FTQC systems. 
This opportunity seeks to fund proposals in two (2) specific theme areas. Please see the announcement for more information. 
If you have difficulty accessing the full announcement electronically, please contact: 
Aleah L. Parker 
Grantor Email 
</t>
  </si>
  <si>
    <t>Cooperative Agreement for affiliated Partner with Rocky Mountains Cooperative Ecosystem Studies Unit (CESU)</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</si>
  <si>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a participating partner of the Rocky Mountain Cooperative Ecosystem Studies Unit (CESU) Program.</t>
  </si>
  <si>
    <t>The US Geological Survey (USGS) is offering a funding opportunity to a CESU partner for research in the following research area: the immunology of insects with a focus on imperiled bumble bees. The research is to develop tools for the recovery of endangered or imperiled bumble bees such as Bombus affinis (rusty patched bumble bee) and Bombus occidentalis (western bumble bee). Each of these species were once widespread and dominant throughout parts of North America but have declined rapidly in the past 20 years.   The leading hypothesis for the cause of this decline has been the proliferation of a pathogen, Variomorpha bombi, in wild bumble bees.  Strategies to decrease the negative effects of this pathogen are therefore of great interest to the recovery of these bumble bee species.</t>
  </si>
  <si>
    <t>NEA Grants for Arts Projects 1, FY 2026</t>
  </si>
  <si>
    <t>NEA</t>
  </si>
  <si>
    <t>National Endowment for the Arts</t>
  </si>
  <si>
    <t xml:space="preserve">Special district governments </t>
  </si>
  <si>
    <t>Grants for Arts Projects (GAP) provides project-based funding for organizations in the areas of Artist Communities, Arts Education, Dance, Design, Film &amp; Media Arts, Folk &amp; Traditional Arts, Literary Arts, Local Arts Agencies, Museums, Music, Musical Theater, Opera, Presenting &amp; Multidisciplinary Works, Theater, and Visual Arts. Funded activities may include public engagement with the arts and arts education, the integration of the arts with strategies promoting the health and well-being of people and communities, and the improvement of overall capacity and capabilities within the arts sector. Awards require a 1:1 cost share/match. We welcome applications from first-time and returning applicants; from organizations serving rural, urban, suburban, and tribal communities of all sizes; and from organizations with small, medium, or large operating budgets. Eligible applicants include: nonprofit, tax-exempt 501(c)(3), U.S. organizations; units of state or local government; and Federally recognized tribal communities or tribes. Funding in this category is not available for individuals, fiscally sponsored entities, commercial/for-profit enterprises, State Arts Agencies (SAA), or Regional Arts Organizations (RAO).</t>
  </si>
  <si>
    <t>Facilitating Research at Predominantly Undergraduate Institutions:</t>
  </si>
  <si>
    <t>NSF</t>
  </si>
  <si>
    <t>National Science Foundation</t>
  </si>
  <si>
    <t>Others (see text field entitled "Additional Information on Eligibility" for clarification) *Who May Submit Proposals: Proposals may only be submitted by the following:
  -
Eligible predominantly undergraduate institutions (PUIs) are accredited colleges and universities (including two-year community colleges) that award Associate's degrees, Bachelor's degrees, and/or Master's degrees in NSF-supported fields, but have awarded 20 or fewer Ph.D./D.Sci. degrees in all NSF-supported fields during the combined previous two academic years.
*Who May Serve as PI:
See Additional Eligibility Information in Section IV.B of this solicitation.</t>
  </si>
  <si>
    <t xml:space="preserve">The Research in Undergraduate Institutions (RUI) and Research Opportunity Awards (ROA) funding opportunities support research by faculty members at predominantly undergraduate institutions (PUIs).Â  RUI proposals support PUI faculty in research that engages them in their professional field(s), builds capacity for research at their home institution, and supports the integration of research and undergraduate education. ROAs similarly support PUI faculty research, but these awards typically allow faculty to work as visiting scientists at research-intensive organizations where they collaborate with other NSF-supported investigators. 
Eligible PUIs are accredited colleges and universities (including two-year community colleges) that award Associate's degrees, Bachelor's degrees, and/or Master's degrees in NSF-supported fields, but have awarded 20 or fewer Ph.D./D.Sci. degrees in all NSF-supported fields during the combined previous two academic years. 
All NSF directorates may support RUI and ROA funding activities. Funding for these awards is contained within research and education program allocations and not held as a separate allocation. RUI and ROA proposals are evaluated and funded by NSF programs in the disciplinary areas of the proposed research and are funded at their discretion.Â 
Prospective PIs should contact disciplinary program officers to identify specific NSF programs and to determine the feasibility and timing of RUI/ROA requests. General RUI/ROA points of contact are available through the website http://www.nsf.gov/crssprgm/rui_roa/contacts.jsp.  
1. Research in Undergraduate Institutions (RUI). An RUI proposal may be: 
A request to support an individual research project or a collaborative research project involving PUI faculty and students at their own or other institutions.
A request involving shared research instrumentation.
2.Â  Research Opportunity Awards (ROA). The types of ROA opportunities include:Â 
A supplement to an existing NSF award to support ROA activities for PUI faculty.
Requests to rebudget funds in an existing NSF award to support ROA activities for PUI faculty.
Submission of a new collaborative proposal between a PUI and another institution(s), with a ROA component as a subaward or as part of a linked collaborative proposal. 
</t>
  </si>
  <si>
    <t>NEA Research Labs, FY 2026</t>
  </si>
  <si>
    <t xml:space="preserve">State governments </t>
  </si>
  <si>
    <t>The NEA Research Labs program funds projects that support transdisciplinary research teams to build public knowledge about the arts and their contributions to individuals, communities, and society at large. Each Lab will conduct multiple research studies and develop a suite of products or services.</t>
  </si>
  <si>
    <t>NEA Research Grants in the Arts, FY 2026</t>
  </si>
  <si>
    <t xml:space="preserve">Native American tribal governments (Federally recognized) </t>
  </si>
  <si>
    <t>Research Grants in the Arts (RGA) support research studies that investigate the value and/or impact of the arts, either as individual components of the U.S. arts ecosystem or as they interact with each other and/or with other domains of American life.</t>
  </si>
  <si>
    <t>Sources for Ultraviolet Nuclear Spectroscopy of Thorium (SUNSPOT)</t>
  </si>
  <si>
    <t>DOD-DARPA-DSO</t>
  </si>
  <si>
    <t>DARPA - Defense Sciences Office</t>
  </si>
  <si>
    <t>Others (see text field entitled "Additional Information on Eligibility" for clarification) All responsible sources capable of satisfying the Government's needs may submit a proposal that shall be considered by DARPA.  See the Eligibility Information section of the BAA for more information.</t>
  </si>
  <si>
    <t>The Defense Advanced Research Projects Agency (DARPA) is soliciting innovative proposals in the development of highly coherent sources of vacuum ultraviolet (VUV) radiation for clock-grade spectroscopy of the recently discovered thorium (229m-Th) nuclear isomeric transition. Proposed research should investigate innovative approaches that enable revolutionary advances in science, devices, or systems.  Specifically excluded is research that primarily results in evolutionary improvements to the existing state of practice.</t>
  </si>
  <si>
    <t>Infrastructure Systems and People</t>
  </si>
  <si>
    <t xml:space="preserve">Unrestricted (i.e., open to any type of entity above), subject to any clarification in text field entitled "Additional Information on Eligibility" </t>
  </si>
  <si>
    <t>Infrastructure systems comprise complex connections between physical components, organizational structures and operational methods that support the needs of people and communities at the local, regional, national, and global scales. Such systems form the backbone of society, providing essential services as well as ensuring public health and welfare, economic prosperity and national security, and are expected to function under all operational conditions.
Meanwhile, infrastructure systems are capital intensive and vulnerable to disruptions from extreme events, including natural disasters, social crises, and malicious attacks. Disruptions in one system can have cascading impacts on others in space and over time. Moreover, short- versus long-term trade-offs, unintended consequences, and maladaptation are not often accounted for. How systems function at the   which can be due to disruptors from the introduction of innovation, the convergence of technologies, sudden changes to their utilization and access, dramatic changes in operating environments, and changes to demand during crises are of particular interest. To ensure the efficiency, sustainability, and resilience, and user-equity of infrastructure systems, it is important to continuously improve and optimize their design, operations, system monitoring and performance assessment in dynamic, uncertain and sometime unknown environments. While functioning at extremes is of interest, the program also supports infrastructure systems research under the full range of operating conditions, across a variety of hazards, and in urban, suburban, and rural communities.
The program particularly encourages interdisciplinary and multidisciplinary exploration that will open new research frontiers and significantly broaden and transform relevant research communities. The program welcomes research that addresses novel system integration, user-inspired system and service design, data analytics, and socio-technical studies focused on engineering and system innovation during normal and extreme conditions. The program also values innovative research efforts focused on collecting, standardizing, and sharing large-scale databases of real-world infrastructure systems and people-infrastructure interactions during normal and extreme operating conditions, which can be instrumental in providing benchmarks for model verification and validationand for advancing future research innovation in ISP.
The ISP program supports research on lifeline systems and communities that contributes to the National Science Foundation s role in the National Earthquake Hazards Reduction Program (NEHRP) and the National Windstorm Impact Reduction Program (NWIRP). Principal Investigators are encouraged to leverage NSF s investments in the Natural Hazards Engineering Research Infrastructure (NHERI) experimental, computational modeling and simulation, and data resources (https://www.designsafe-ci.org/) in their research to accelerate advances needed for reducing the impacts of natural hazards on infrastructures and people.
While physics-based subject-matter knowledge may be crucial in many research efforts, the program does not support research whose primary methodological contribution focuses on individual infrastructure components without a systems research perspective whose primary methodological focus is on geotechnical and structural engineering, material sciences, architectural engineering, wireless communication and sensor technology, human factors, and/or hydrologic or environmental engineering.
Proposers are actively encouraged to email a one-page project summary to the ISP Program Officers before submitting a full proposal for guidance on whether the proposed research topic falls within the scope of the ISP program; this guidance should especially be requested for multi-disciplinary research proposals, and proposals for which research and/or development on the subject infrastructure(s) are also supported by other federal and/or state agencies.</t>
  </si>
  <si>
    <t>US Embassy Abidjan Cross Border University Partnership Initiatives</t>
  </si>
  <si>
    <t>DOS-CIV</t>
  </si>
  <si>
    <t>U.S. Mission to Cote d Ivoire</t>
  </si>
  <si>
    <t>Others (see text field entitled "Additional Information on Eligibility" for clarification) The following organizations are eligible to apply:  _x000D_
_x000D_
 	Accredited higher education institutions in C te d Ivoire and the United States_x000D_
 	Applicants should have already identified a partner institute_x000D_
_x000D_
All organizations must have a Unique Entity Identifier (UEI) issued via SAM.gov as well as a valid registration in SAM.gov. Please see Section D.3 for more information. Individuals are not required to have a UEI or be registered in SAM.gov.</t>
  </si>
  <si>
    <t xml:space="preserve">The Public Diplomacy Section (PDS) of the U.S. Embassy in Abidjan aims to increase partnership and collaboration between American and Ivoirian universities. These partnerships can take different forms but will facilitate academic exchanges, collaborative research, and professional development opportunities, ultimately supporting the exchange of ideas and expertise and contributing to the capacity of higher education institutions (HEIs) in CÃ´te dâ€™Ivoire. Projects may include, but not be limited to, the following goals: Foster partnerships between U.S. and Ivoirian universities to promote academic exchange and collaborative research. Strengthen the institutional capacity of universities through joint programs, faculty exchanges, and shared resources. Develop and implement new curricula that address global challenges and incorporate diverse perspectives. Promote joint research initiatives that address pressing global issues and encourages innovation. Provide professional development opportunities for faculty and staff to improve teaching and administrative practices. Support the development of policies that facilitate international collaboration and academic freedom. Enhance the use of technology in education through collaborative projects and shared digital resources. Promote sustainable practices and environmental stewardship through joint university initiatives. Proposed projects should have the institutional support necessary so that the relationship built between universities is sustainable beyond the duration of the grant. </t>
  </si>
  <si>
    <t>Alumni Engagement Innovation Fund (AEIF) 2025</t>
  </si>
  <si>
    <t>DOS-CAF</t>
  </si>
  <si>
    <t>U.S. Mission to Central African Republic</t>
  </si>
  <si>
    <t>Individuals USG exchange alumni (Individuals, NGOs, associations)</t>
  </si>
  <si>
    <t xml:space="preserve">AEIF provides alumni of U.S.-sponsored and -facilitated exchange programs with funding to expand on skills gained during their exchange experience in order to design and implement innovative solutions to global challenges facing their community. Since its inception in 2011,AEIF has funded nearly 500 alumni-led projects around the world through a competitive global competition. 
U.S. Embassy Bangui will accept public service projects proposed and managed by teams of at least two (2) alumni that support one or more of the following themes:
â€¢ English language instruction and learning
â€¢ Womenâ€™s economic empowerment
â€¢ Peace and reconciliation
â€¢ Justice and rule of law
â€¢ Education and teaching
 </t>
  </si>
  <si>
    <t>FY23 Metter-Register Rail Upgrades</t>
  </si>
  <si>
    <t>DOT-FRA</t>
  </si>
  <si>
    <t>DOT - Federal Railroad Administration</t>
  </si>
  <si>
    <t>Others (see text field entitled "Additional Information on Eligibility" for clarification) This is a Congressionally-directed grant to the Candler County Industrial Authority. The Candler County Industrial Authority is the only entity that may apply for this grant.</t>
  </si>
  <si>
    <t>This project will rehabilitate 12.3 miles of Georgia Southern short line freight track between MP 73.65 and MP 85.95. This includes replacing a metal culvert, repairing 32 steel H-piles on the bridge located at MP 84.0, and improving safety on two community crossings between Metter and Register, GA to permit safe, 10mph train speeds with daytime operations.</t>
  </si>
  <si>
    <t>DoD Cyber Service Academy (DoD CSA)</t>
  </si>
  <si>
    <t>DOD-WHS</t>
  </si>
  <si>
    <t>Washington Headquarters Services</t>
  </si>
  <si>
    <t>Others (see text field entitled "Additional Information on Eligibility" for clarification) Please see Section C of the Notice of Funding Opportunity (under the  Related Documents  tab) for complete eligibility requirements.</t>
  </si>
  <si>
    <t>See the "Related Documents" and "Package" tabs for the complete application package, including the full text of the Notice of Funding Opportunity.The Department of Defense (DoD) Cyber Service Academy (CSA) is authorized by Chapter 112 of title 10, United States Code, Section 2200. The purpose of the program is to support the recruitment of new cyber talent and the retention of current highly skilled professionals within the DoD cyber workforce. Additionally, this program serves to enhance the national pipeline for the development of cyber personnel by providing grants to institutions of higher education.Regionally and nationally accredited U.S. institutions of higher education, designated under the National Centers of Academic Excellence in Cybersecurity (NCAE-C) and known as National Centers of Academic Excellence in Cyber Defense, Research, and/or Cyber Operations (hereinafter referred to as NCAE-Cs) are invited to submit proposals for developing and managing a full-time, institution-based, grant-funded scholarship program in cyber-related disciplines for Academic Year 2024- 2025. NCAE-Cs may propose collaboration with other accredited institutions, and are encouraged to include accredited post-secondary minority institutions. NCAE-Cs must be in good standing with the NCAE-C Program Office and not be delinquent on any required documentation by the NCAE-C Program Office.Consistent with 10 U.S.C. 2200b, NCAE-C proposals to this solicitation may also request modest collateral support for purposes of institutional capacity building to include faculty development, laboratory improvements, and/or curriculum development, in cyber-related topics to providing a strong foundation for a DoD CSA.</t>
  </si>
  <si>
    <t>Behavioral and Integrative Treatment Development Program (R34 Clinical Trial Optional)</t>
  </si>
  <si>
    <t>HHS-NIH11</t>
  </si>
  <si>
    <t>National Institutes of Health</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</si>
  <si>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</si>
  <si>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funding opportunity announcement (FOA) is to encourage behavioral intervention development research to test efficacy, conduct clinical trials, examine mechanisms of behavior change, determine dose-response, treatment optimization, and/or ascertain best sequencing of behavioral, combined, sequential, or integrated behavioral and pharmacological (1) drug abuse treatment interventions, including interventions for patients with comorbidities; (2) drug abuse treatment and adherence interventions; (3) drug abuse treatment and adherence interventions that utilize technologies to boost effects and increase implementability and sustainability; (4) interventions to prevent the acquisition or transmission of HIV infection among individuals in drug abuse treatment; (5) interventions to promote adherence to drug abuse treatment, HIV and addiction medications; and (6) interventions to treat substance misuse and chronic pain. Research of interest includes but is not limited to Stage I research.</t>
  </si>
  <si>
    <t>Fiscal Year 2025 NOAA Delaware Bay B-WET Funding Program</t>
  </si>
  <si>
    <t>DOC-DOCNOAAERA</t>
  </si>
  <si>
    <t>DOC NOAA - ERA Production</t>
  </si>
  <si>
    <t>Others (see text field entitled "Additional Information on Eligibility" for clarification) Eligible applicants are K-through-12 public and independent schools and school systems, institutions of higher education, community-based and nonprofit organizations, state or local government agencies, interstate agencies, and Indian tribal governments. Individuals, for-profit organizations, foreign organizations, and foreign public entities are not eligible to apply. However, for-profit and foreign organizations and foreign public entities may participate with an eligible applicant as a project partner. Additional guidance on subrecipient partners can be found at https://www.ecfr.gov/current/title2/section-200.331. Likewise, federal agencies are not eligible to receive federal assistance under this announcement, but may be project partners.</t>
  </si>
  <si>
    <t>The Bay Watershed Education and Training (B-WET) program is a competitive grants program that provides funding for locally relevant environmental education projects for K-12 audiences. This funding opportunity supports programming throughout the Delaware Bay watershed in Delaware, Pennsylvania, New Jersey, and New York. Funded projects promote Meaningful Watershed Educational Experiences (MWEEs). The MWEE is a learner-centered framework that focuses on investigating local environmental issues and leads to informed action. MWEEs are composed of multiple components that include learning both outdoors and in the classroom as students engage in issue definition, outdoor field experiences, synthesis and conclusions, and environmental action projects. MWEEs aim to increase understanding and stewardship of the Delaware Bay and local watersheds, including the rivers, upland streams, and natural habitats found throughout the region. In these experiences, the core ideas of multiple disciplines are applied to make sense of the relationships between the natural world and the communities that rely on it. MWEEs help connect students with their local environment and equip them to make decisions and take actions that contribute to stronger communities. B-WET funding supports school districts and their partners to develop high-quality environmental education experiences for students, rigorous teacher training opportunities, and capacity-building efforts that underpin the implementation of high-quality environmental literacy programming. Projects advance regional fisheries initiatives, state and local education and environmental priorities, and the NOAA Education Strategic Plan. The priority for this funding announcement is: Supporting systemic and sustainable MWEEs.</t>
  </si>
  <si>
    <t>AFRL FY25 Compositional Optimization, Dynamical Systems and Control (CODAC) UNIVERSITY CENTER OF EXCELLENCE</t>
  </si>
  <si>
    <t>This Notice of Funding Opportunity (NOFO) describes a newly proposed initiative of the Air Force Research Laboratory (AFRL) concerning standing up a University Center of Excellence (uCoE) for â€œCompositional Optimization, Dynamical Systems and Control (CODAC)â€ with educational institutions in the United States. The uCoE is defined as a joint effort among multiple technical directorates (TDs) of the Air Force Research Laboratory to include: the Air Force Office of Scientific Research (AFOSR), Information Directorate (RI), Autonomy Capability Team (ACT3), and Munitions Directorate (RW), referred to collectively as â€œwe, our, or us,â€ in this NOFO, and an outstanding university or team of universities that will perform high priority unclassified and collaborative basic / applied (6.1/ 6.2) research which addresses the United States Air Force (USAF) and United States Space Force (USSF) research needs in the CODAC area with relevance to joint optimization and decision making.
Please see the announcement for more information.</t>
  </si>
  <si>
    <t>U.S. Embassy in Finland Public Diplomacy Annual Program Statement</t>
  </si>
  <si>
    <t>DOS-FIN</t>
  </si>
  <si>
    <t>U.S. Mission to Finland</t>
  </si>
  <si>
    <t xml:space="preserve">Individuals </t>
  </si>
  <si>
    <t>Priority Program Areas: The Public Diplomacy Section (PDS) at the U.S. embassy in Helsinki, Finland, invites proposals for programs that promote bilateral cooperation, highlight shared values, and focus specifically on the following priority areas: â€¢	Promoting economic prosperity and entrepreneurship, especially the facilitation of technology and innovation cooperation â€¢	Addressing global security challenges and increasing understanding of Finlandâ€™s integration into NATO, including programs in support of Women, Peace, and Security (WPS) initiatives â€¢	Promoting youth, academic, and professional exchange programs â€¢	Promoting Arctic and High North collaboration The following types ofâ€¯programs are not eligible for funding: â€¢	Programs relating to partisan political activities â€¢	Charitable or development activities â€¢	Construction programs â€¢	Fund-raising campaigns â€¢	Lobbying for specific legislation â€¢	Programs intended primarily for the growth or institutional development of the organization â€¢	Programs intended for an individualâ€™s personal enrichment or career development (including studies, study trips, conference participation or travel) â€¢	Programs implemented by an individual applicant with the intention of distributing funds to other implementors or participants â€¢	Programs which audiencesâ€™ age is below upper secondary/high school â€¢	Artist residencies â€¢	For-profit entitiesâ€¢	None of the funds awarded resulting from this Notice of Funding Opportunity may be made available for subawards, direct financial support, or otherwise used to provide any payment or transfer to United Nations Relief and Works Agency (UNRWA). The Notice of Funding Opportunity has been updated February 11 with the following:Certification Regarding Compliance with applicable Federal anti-discrimination lawsNone of the funds awarded under this Notice of Funding Opportunity (NOFO) may be used for any initiatives or programs, or any activities that do not comply with Executive Order 14173 titled Ending Illegal Discrimination and Restoring Merit-Based Opportunity.By signing the SF-424 or SF-424I Application for Federal Assistance, the Applicant certifies the following:1) Its compliance in all respects with all applicable Federal anti-discrimination laws is material to the governmentâ€™s payment decisions for purposes of section 3729(b)(4) of title 31, United States Code and;2) It does not operate any programs promoting Diversity, Equity, and Inclusion that violate any applicable Federal anti-discrimination laws.</t>
  </si>
  <si>
    <t>Humanities Initiatives</t>
  </si>
  <si>
    <t>NEH</t>
  </si>
  <si>
    <t>National Endowment for the Humanities</t>
  </si>
  <si>
    <t>Public and State controlled institutions of higher education See C. Eligibility Information in the Notice of Funding Opportunity.</t>
  </si>
  <si>
    <t>The National Endowment for the Humanities (NEH) Division of Education Programs is accepting applications for the five Humanities Initiatives programs. These programs strengthen the teaching and study of the humanities at institutions of higher education by developing new or improving existing humanities programs, educational resources, or coursework.</t>
  </si>
  <si>
    <t>EXPRESS:2025 Exploratory Research for Extreme-Scale Science</t>
  </si>
  <si>
    <t>PAMS-SC</t>
  </si>
  <si>
    <t>Office of Science</t>
  </si>
  <si>
    <t xml:space="preserve">The DOE SC program in Advanced Scientific Computing Research (ASCR) hereby announces its interest in basic research to explore potentially high-impact approaches in scientific computing and extreme-scale science. </t>
  </si>
  <si>
    <t>Launching Early-Career Academic Pathways in the Mathematical and Physical Sciences (LEAPS-MPS)</t>
  </si>
  <si>
    <t>Others (see text field entitled "Additional Information on Eligibility" for clarification) *Who May Submit Proposals: Proposals may only be submitted by the following:
  - p style= display: inline !important; The proposal must be submitted by Institutions of Higher Education (IHEs) accredited in, and having a campus located in the U.S., that arenotcurrently classified as a Doctoral University with  Very High Research Activity  (R1 institutions) according to the most recent Carnegie Classification: a class=  href= span class= .
These include two- and four-year IHEs (including community colleges) accredited in, and having a campus located in the U.S., acting on behalf of their faculty members. Eligibility is based on the classification on the date of proposal submission deadline.
*Who May Serve as PI:
The Principal Investigator must fulfill these three conditions at the time of proposal submission:
 hold a doctoral degree in a discipline in which the Divisions of the Directorate for Mathematical and Physical Sciences support fundamental research 
 be in the pre-tenure period of a tenure-track or tenure-track equivalent faculty appointment 
 have not previously served as Principal or co-Principal Investigator on an NSF research award. For this solicitation, Fellowship, Conference/Workshop, Equipment, Travel, Instrumentation Infrastructure, and Research Opportunity Award (ROA) awards are not included in the research grant category 
Tenure-track equivalency - For a position to be considered tenure-track-equivalent, it must simultaneously meet these three requirements: (1) the continuing appointment is expected to last at least three years from the start date of the LEAPS award; (2) the appointment comes with substantial research and educational responsibilities; and (3) the employee's career goals and job responsibilities as well as the mission of the department or organization will be served by the proposed LEAPS project.
Co-Principal Investigators are not permitted on LEAPS-MPS proposals.</t>
  </si>
  <si>
    <t>The Launching of Early-Career Academic Pathways in the Mathematical and Physical Sciences (LEAPS-MPS) supports the launch of the careers of pre-tenure faculty whose research is in Mathematical and Physical Sciences (MPS) fields at institutions that do not traditionally receive significant amounts of MPS funding, such as Carnegie Research 2 (R2) universities, minority-serving institutions (MSIs), predominantly undergraduate institutions (PUIs).
The LEAPS awards enable PIs from these institutions to initiate productive research programs and generate results useful for preparing subsequent competitive proposals to   NSF funding opportunities, such as a core program or a CAREER solicitation. A critical goal of the LEAPS-MPS Program is to develop the 21st-century STEM workforce representative of society s full spectrum of talent by increasing the participation in STEM research of members of communities underrepresented and/or underserved in STEM and the number of members of these communities who can serve as role models.
Awards are for 24 months with budgets of up to $250,000 total costs (direct plus indirect).
Proposals in response to this solicitation must be submitted for consideration tothe appropriate program in one of the five MPS Divisions.</t>
  </si>
  <si>
    <t>Value-Added Producer Grant</t>
  </si>
  <si>
    <t>USDA-RBCS</t>
  </si>
  <si>
    <t xml:space="preserve">Rural Business-Cooperative Service </t>
  </si>
  <si>
    <t>Others (see text field entitled "Additional Information on Eligibility" for clarification) Agricultural Producers, Agricultural Producer Groups, Farmer or Rancher Cooperatives, or Majority-Controlled Producer-Based Business</t>
  </si>
  <si>
    <t xml:space="preserve">
Program Overview
The objective of this grant program is to assist viable Agricultural Producers, Agricultural Producer Groups, Farmer and Rancher Cooperatives, and Majority-Controlled Producer-Based Businesses in starting or expanding value-added activities related to the processing and/or marketing of Value-Added Agricultural Products. Grants will be awarded competitively for either planning or working capital projects directly related to the processing and/or marketing of value-added products. Generating new products, creating and expanding marketing opportunities, and increasing producer income are the end goals of the program. All proposals must demonstrate economic viability and sustainability to compete for funding.
To Apply
Applications for the VAPG program must be completed through the Grant Application Portal (GAP).
Before starting your application, we encourage, but do not require you to complete a VAPG Self-Assessment survey to help confirm potential eligibility for the program. In addition, we recommend reaching out to your local Business Program Specialist to discuss your project. Please visit https://www.rd.usda.gov/programs-services/business-programs/value-added-producer-grants and ensure that your State is selected in the dropdown menu to access the contact information for your local State Business Programs Specialist. 
To access the GAP and start an application you will be directed to log into the portal through eAuthentication. All applicants will need Level 2 eAuthentication access (eAuth). If you do not have eAuth, you will be required to create an account at 
Please note: USDA eAuth is the system used by USDA agencies to enable individual customers and employees to obtain accounts that will allow them to securely access USDA Web applications and services via the Internet. The eAuth policy defines four assurance levels, Level 2 access is required for the GAP and provides some confidence in the asserted identity's validity. 
Once youâ€™ve completed your log in process, you will be directed to the GAP Homepage where you can start an application or return to an application in process. 
Applications will not be accepted via Grants.gov
Starting an application in GAP
Please be aware, applications in GAP must be started by the Authorized Representative of the applicant entity who has signature authority. Applicants may work with a collaborator (grant writer, technical assistance provider, or similar) or other representatives (owners or family members) of the applicant entity, however, the owner of the applicant entity will be responsible for starting the application, responsible for edits made to the application by collaborators or representatives, and will be required to certify to the trueness, accuracy, and completion of the application. Collaborators and representatives will need Level 2 eAuth access to be added to an application and can create an account at https://www.eauth.usda.gov/.</t>
  </si>
  <si>
    <t>DOS-BDI</t>
  </si>
  <si>
    <t>U.S. Mission to Burundi</t>
  </si>
  <si>
    <t>Others (see text field entitled "Additional Information on Eligibility" for clarification) The eligible applicants are: Alumni of a U.S. government-funded or sponsored exchange program or a U.S. government-sponsored exchange program (https://j1visa.state.gov/). Projects teams must include teams of at least two (2) alumni. Alumni who are U.S. citizens may not submit proposals, but U.S. citizen alumni may participate as team members in a project. Alumni teams may be comprised of alumni from different exchange programs and different countries. Applications must be submitted by exchange alumni or alumni associations of USG exchange alumni. No other organizations are eligible to apply. Exchange alumni can partner with not-for-profit or non-governmental organizations, think tanks, and academic institutions to implement project activities. The grant can be issued to the organization/association of the alumni or the partner organization.</t>
  </si>
  <si>
    <t>A. PROGRAM DESCRIPTION The Embassy of the United States in Bujumbura announces an open competition for past participants (â€œalumniâ€) of U.S. government-funded and U.S. government-sponsored exchange programs to submit applications to the 2025 Alumni Engagement Innovation Fund (AEIF 2025). We seek proposals from teams of at least two (2) alumni that meet all program eligibility requirements below. Exchange alumni interested in participating in AEIF 2025 should submit proposals to BurundiPublicDiplomacy@state.gov by February 15, 2025. Priority Region: Burundi Program Objectives: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to:â€¢ Goal 1: Invest in People: Burundian systems for health and education are strengthenedâ€¢ Goal 2: Invest in the Economy: The foundation for a stronger Burundian economy is createdâ€¢ Goal 3: Invest in Society and the Region: Burundi is a peaceful, open, and stable actor at home and in the regionThe U.S. Embassy in Bujumbura will accept public service projects proposed and managed by teams of at least two (2) alumni that support themes above mentioned. Proposals that do not address the theme as outlined in the program objectives will be deemed ineligible. B. FEDERAL AWARD INFORMATION Length of performance period: 6 to 12 months Number of awards anticipated: Maximum two awards Award amounts: Awards may range from a minimum of $5,000 to a maximum of $35,000 Total available funding: Pending availability of funds Type of Funding: FY25 Fulbright Hays Anticipated program start date: June 2025 This notice is subject to availability of funding.Funding Instrument Type: Grant, fixed amount award (FAA), or cooperative agreement. Cooperative agreements and some FAAs are different from grants in that bureau or embassy staff are more actively involved in the grant implementation (â€œSubstantial Involvementâ€). Program Performance Period: Proposed programs should be completed in one year or less.</t>
  </si>
  <si>
    <t>Disability and Rehabilitation Research Projects (DRRP) Program: Research on Traumatic Brain Injury (TBI) As a Lifelong Condition</t>
  </si>
  <si>
    <t>HHS-ACL</t>
  </si>
  <si>
    <t>Administration for Community Living</t>
  </si>
  <si>
    <t>Small businesses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</si>
  <si>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Disability and Rehabilitation Research Projects (DRRPs) is to achieve the goals of and improve the effectiveness of services authorized under the Rehabilitation Act, by generating new knowledge, or developing methods, procedures, and rehabilitation technologies that advance a wide range of outcomes among people with disabilities, especially people with disabilities who have the greatest support needs. Under this particular DRRP priority, the objective is to improve long-term health outcomes of people with traumatic brain injury (TBI). The grantee may conduct research at the intervention-development stage, and must conduct at least one study at the intervention efficacy stage. The grantee will conduct this research to develop and test interventions, services, and supports to address the complex and varied life-long health care needs of people with TBI. This grant will have a 60-month project period, with five 12-month budget periods.</t>
  </si>
  <si>
    <t>Disability and Rehabilitation Research Projects (DRRP) Program: Research on Healthcare Policy and Disability</t>
  </si>
  <si>
    <t>Native American tribal organizations (other than Federally recognized tribal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</si>
  <si>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Disability and Rehabilitation Research Projects (DRRPs) is to achieve the goals of and improve the effectiveness of services authorized under the Rehabilitation Act, by generating new knowledge, or developing methods, procedures, and rehabilitation technologies that advance a wide range of outcomes among people with disabilities, especially people with disabilities who have the greatest support needs. Under this particular DRRP priority, grantees must generate new knowledge about the effects of evolving healthcare policies on health and function, community living and participation, or employment outcomes among people with disabilities. This grant will have a 60-month project period, with five 12-month budget periods.</t>
  </si>
  <si>
    <t>Strategic Prevention Framework   Partnerships for Success for States</t>
  </si>
  <si>
    <t>HHS-SAMHS-SAMHSA</t>
  </si>
  <si>
    <t>Substance Abuse and Mental Health Services Adminis</t>
  </si>
  <si>
    <t>Others (see text field entitled "Additional Information on Eligibility" for clarification) Eligibility is limited to states including U.S. Territories, Pacific Jurisdictions, and the District of Columbia.</t>
  </si>
  <si>
    <t>The SPF-PFS-States program is intended to continue to build prevention capacity throughout states and to strengthen the capacity of local community prevention providers. The purpose of this program is to:Help prevent and reduce the initiation and progression of substance use and its related problems by supporting the development and delivery of community-based substance use prevention services that strengthen protective factors, reduce risk factors, build resilience, and promote well-being.Expand and strengthen the capacity of state and local community prevention providers serving underserved communities and tribes; andImplement evidence-based, evidence-informed, and community-defined evidence-based prevention strategies.</t>
  </si>
  <si>
    <t>Strategic Prevention Framework - Partnerships for Success for Communities and Tribes</t>
  </si>
  <si>
    <t>Others (see text field entitled "Additional Information on Eligibility" for clarification) Eligibility is limited to domestic public or private non-profit entities, including community and faith-based organizations, federally recognized tribes, tribal organizations, local governments, and institutions of higher education.</t>
  </si>
  <si>
    <t xml:space="preserve">The SPF-PFS-Communities/Tribes program is intended to build prevention capacity throughout communities and tribes and to strengthen the capacity of local community prevention providers.The purpose of this program is to:Help prevent and reduce the initiation and progression of substance use and its related problems by supporting the development and delivery of community-based substance use prevention services that strengthen protective factors, reduce risk factors, build resilience, and promote well-being.Expand and strengthen the capacity of state and local community prevention providers serving communities and tribes and implement evidence-based, evidence-informed, and community-defined evidence-based prevention strategies. </t>
  </si>
  <si>
    <t>Office of Elementary and Secondary Education (OESE): Office of Indian Education (OIE): Indian Education Discretionary Grants Program: Professional Development Program (PD)--Native American Teacher Retention Initiative  (NATRI) 84.299B</t>
  </si>
  <si>
    <t>ED</t>
  </si>
  <si>
    <t>Department of Education</t>
  </si>
  <si>
    <t>County governments 1. Eligible Applicants: The following entities, either alone or in _x000D_
a consortium, are eligible under this program:_x000D_
    (1) An institution of higher education, or a TCU;_x000D_
    (2) A State educational agency in consortium with an institution of higher education or a TCU;_x000D_
    (3) A local educational agency (LEA) in consortium with an institution of higher education or a TCU;_x000D_
    (4) An Indian tribe or Indian organization in consortium with an institution of higher education or a TCU; or_x000D_
    (5) A BIE-funded school in consortium with at least one TCU, where feasible.</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</si>
  <si>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23, 2024. 
  Purpose of Program: The purposes of the PD Program that are relevant to this competition are to improve the skills of qualified Indian individuals who serve in the education field; and develop and implement initiatives to promote retention of effective teachers, principals, and school leaders who have a record of success in helping low-achieving Indian students improve their academic achievement, outcomes, and preparation for postsecondary education or employment.  
 Assistance Listing Number (ALN) 84.299B.</t>
  </si>
  <si>
    <t>Office of Elementary and Secondary Education (OESE): Office of Indian Education (OIE): Indian Education Discretionary Grants Program: Professional Development Program (PD) Training Grants, Assistance Listing Number (ALN) 84.299B</t>
  </si>
  <si>
    <t>City or township governments 1.  Eligible Applicants:(a)  An eligible applicant must be--(1)  An IHE, including a TCU;(2)  A State educational agency in a consortium with an IHE or a TCU;(3)  An LEA in a consortium with an IHE or a TCU;(4)  An Indian Tribe or Indian organization in a consortium with an IHE or a TCU; or(5)  A BIE-funded school in a consortium with at least one TCU, where feasible. BIE-funded schools are eligible applicants for a pre-service training program when the BIE-funded school applies in consortium with an institution of higher education that meets the requirements in paragraph(c) of this section. (b)  Eligibility of an applicant that is an IHE or a TCU, or an applicant requiring a consortium with an IHE or a TCU, requires that the IHE or TCU be accredited to provide the coursework and level of degree or Native American language certificate required by the project.Post Award Requirements: (a) Requirement for payback meeting.  Prior to providing funds or services to a participant, the grantee must conduct a payback meeting with the participant to explain the costs of training and payback responsibilities following training. (b) Requirement for payback agreement.  (1) Prior to providing funds or services to a participant, and for each subsequent year that training funds are disbursed, the grantee must enter into a written agreement with each participant in which the participant agrees to the terms and conditions required by 34 CFR 263.12.  (2) The payback agreement must explain the Secretary s authority to grant deferrals and exceptions to the service obligation pursuant to   263.10 and include--(i) The current Department address for purposes of the participant s compliance with   263.11, or any other purpose under this part, and other Office of Indian Education contact information;(ii) The estimated length of training; (iii) The total training costs; (iv) The total amount of assistance accrued year-to-date;(v) The total number of months in the service obligation year-to-date;(vi) A statement explaining that work must be in an  LEA that serves a high proportion of Indian students,  and the regulatory definition of that phrase; and(vii) Information documenting that the grantee held a payback meeting with the participant that meets the requirements of this section.(3)  The grantee must submit a signed payback agreement to the Department within 30 days of the date on which the payback agreement is fully executed by the grantee and participant.  The grantee must provide a copy of the payback agreement to the participant upon execution.(c) Exit certification.  At the time of exit from the program, the grantee must provide the below information to the participant.  Upon receipt of this information from the grantee, the participant must provide written certification to the grantee that this information is correct: (1) The name of the institution where the participant received pre-service training and the award number of the Federal grant that provided the scholarship.(2) The number of months the participant needs to work in an LEA that serves a high proportion of Indian students to satisfy the payback requirements in 263.9.(3) The total amount of financial assistance received.(4) The participant s field of study and the obligation of the participant to perform the service obligation with employment that meets the requirements in   263.9(b).(d) Career preparation.  During the grant period, a grantee must conduct activities to assist participants in identifying qualified employment opportunities following completion of the program. (e) Information and annual reporting.  The grantee must report to the Secretary all participant training and payback information in a manner specified by the Secretary as well as any other information that is necessary to carry out the Secretary s functions under section 6122 of the ESEA and 34 CFR part 263.  Each grantee will make annual reports to the</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</si>
  <si>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23, 2024. 
Purpose of Program: The purposes of the PD Program that are relevant to this competition are to increase the number of qualified Indian individuals in professions that serve Indian students and to provide training and support to qualified Indian individuals to become teachers and administrators. 
Assistance Listing Number (ALN) 84.299B.</t>
  </si>
  <si>
    <t>Office of Elementary and Secondary Education (OESE): Office of Indian Education (OIE): Indian Education Discretionary Grants Program: Demonstration Grants for Indian Children and Youth Program, Assistance Listing Number (ALN) 84.299A</t>
  </si>
  <si>
    <t>State governments 3. Eligible Applicants: Under section 6121(b) of the ESEA and 34 CFR 263.20, the following entities are eligible under this program, either alone or in a consortium:	(a) A State educational agency (SEA)	(b) A local educational agency (LEA).	(c) An Indian Tribe.	(d) An Indian organization.	(e) A federally supported elementary school or secondary school for Indian students (Bureau of Indian Education (BIE) or Tribally Controlled School).	(f) A Tribal College or University (TCU).Note: Non-Tribal applicants who are in partnerships with Indian Tribes or Indian organizations should include in their partnership agreement, which is specified in Application Requirement (f), a description of substantial involvement from Tribes, with Tribal direction incorporated throughout the project period.</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</si>
  <si>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23, 2024. 
 Purpose of Program: The purpose of the program is to provide financial assistance to community-driven projects that develop and share innovative services and programs designed to improve the educational opportunities and achievement of Indian students by addressing community-level challenges.  
Assistance Listing Number (ALN) 84.299A.</t>
  </si>
  <si>
    <t>Creutzfeldt-Jakob Disease (CJD) Increasing Educational Support for CJD Families and the Nation</t>
  </si>
  <si>
    <t>HHS-CDC-NCEZID</t>
  </si>
  <si>
    <t>Centers for Disease Control - NCEZID</t>
  </si>
  <si>
    <t>Native American tribal governments (Federally recognized) Eligible applicants include states, political subdivisions of states and other public and nonprofit private entities.The award ceiling for this NOFO is $100,000. CDC will consider any application requesting an award higher than this amount as non-responsive, and it will receive no further review.</t>
  </si>
  <si>
    <t>Creutzfeldt-Jakob disease (CJD) is an incurable brain disorder that occurs with an incidence of one case per million annually. The majority of patients die within six months of illness onset. The disease causes damage to the brain leaving patients completely dependent on their caregivers for the most basic needs of daily living. In 1996, a variant form of CJD emerged in the United Kingdom, which was causally linked to bovine spongiform encephalopathy (BSE). Over 230 variant CJD cases have been identified worldwide, including four cases in the United States whose BSE exposure is believed based on epidemiological evidence to have occurred outside of the United States.This Notice of funding opportunity (NOFO) will help provide the latest information on human prion diseases to families of loved ones affected by these diseases as well as to public health service providers, other health professionals, and groups at highest risk for these diseases. Providing this information in a timely manner will strengthen efforts to more effectively monitor, to better understand and to ultimately reduce the incidence of those forms of prion diseases such as variant CJD that are preventable. It will also strengthen efforts to identify early the emergence of potentially new prion diseases in people such as possible human chronic wasting disease (CWD). In the United States, the ongoing prion disease outbreak among deer and elk called CWD continues to spread.</t>
  </si>
  <si>
    <t>Minority Research Grant Program (MRGP) 2025</t>
  </si>
  <si>
    <t>HHS-CMS</t>
  </si>
  <si>
    <t>Centers for Medicare &amp; Medicaid Services</t>
  </si>
  <si>
    <t>Public and State controlled institutions of higher education This funding opportunity is open to the following eligible organizations:   Historically Black Colleges and Universities (HBCUs)   Hispanic Serving Institutions (HSIs)   Asian American and Native American and Pacific Islander-Serving Institutions (AANAPISIs)   Tribal Colleges and Universities (TCUs)   Alaska Native and Native Hawaiian Serving Institutions (ANNHs)   Native American-Serving Nontribal Institutions (NASNTIs)   Predominantly Black Institutions (PBIs)</t>
  </si>
  <si>
    <t>The Minority Research Grant Program provides funding opportunities to support health equity research. The purpose of the program is to encourage innovative health services research that can directly and demonstrably contribute to improving health outcomes for people from all minority populations. This program also encourages research that focuses on reducing health disparities at the health care system-level. This research will increase interest in characterizing and analyzing the factors associated with health-related social needs.</t>
  </si>
  <si>
    <t>OVC FY25 Tribal Victim Services Set-Aside Formula Program</t>
  </si>
  <si>
    <t>USDOJ-OJP-OVC</t>
  </si>
  <si>
    <t>Office for Victims of Crime</t>
  </si>
  <si>
    <t>Others (see text field entitled "Additional Information on Eligibility" for clarification) Under this program, OVC allocates funding to participating Tribes through a discretionary administrative formula based on the Population Certifications submitted by federally recognized Indian Tribes, Alaska Native Claims Settlement Act (ANCSA) Regional Corporations, and designees. Eligible applicants are entities that submitted Population Certifications by January 17, 2024.</t>
  </si>
  <si>
    <t>With this funding opportunity, OVC seeks applications for funding for the Fiscal Year (FY) 2025 Tribal Victim Services Set-Aside (TVSSA) Formula Grant Program. The purpose of this funding is to support the provision of services to crime victims in American Indian/Alaska Native (AI/AN) communities through a discretionary administrative formula program funded under a set-aside designated by law from the Crime Victims Fund (CVF). The goal of TVSSA is to provide support to Tribal communities to develop, expand, and enhance services for victims of crime through activities that address the needs of a wide variety of crime victims in Tribal communities.</t>
  </si>
  <si>
    <t>Office of Elementary and Secondary Education (OESE): Teacher Preparation Grants: Supporting Effective Educator Development (SEED) Program, Assistance Listing Number (ALN) 84.423A</t>
  </si>
  <si>
    <t>Public and State controlled institutions of higher education 1.  Eligible Applicants:  (a)  An IHE that provides course materials or resources that are evidence-based in increasing academic achievement, graduation rates, or rates of postsecondary education matriculation;(b)  A national nonprofit entity with a demonstrated record of raising student academic achievement, graduation rates, and rates of higher education attendance, matriculation, or completion, or of effectiveness in providing preparation and professional development activities and programs for teachers, principals, or other school leaders;(c)  The Bureau of Indian Education; or(d)  A partnership consisting of--(i)  One or more entities described in paragraph (a) or (b); and(ii)  A for-profit entity.If you are a nonprofit organization, under 34 CFR 75.51, you may demonstrate your nonprofit status by providing:  (1) proof that the Internal Revenue Service currently recognizes the applicant as an organization to which contributions are tax deductible under section 501(c)(3) of the Internal Revenue Code; (2) a statement from a State taxing body or the State attorney general certifying that the organization is a nonprofit organization operating within the State and that no part of its net earnings may lawfully benefit any private shareholder or individual; (3) a certified copy of the applicant s certificate of incorporation or similar document if it clearly establishes the nonprofit status of the applicant; or (4) any item described above if that item applies to a State or national parent organization, together with a statement by the State or parent organization that the applicant is a local nonprofit affiliate.</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</si>
  <si>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23, 2024. 
Purpose of Program: The SEED program, authorized under section 2242 of the Elementary and Secondary Education Act of 1965, as amended (ESEA) (20 U.S.C. 6672), provides funding to increase the number of highly effective educators by supporting the implementation of evidence-based practices that prepare, develop, or enhance the skills of educators. These grants will allow eligible entities to develop, expand, and evaluate practices that can serve as models to be sustained and disseminated. 
Assistance Listing Number (ALN) 84.423A. 
 </t>
  </si>
  <si>
    <t>Scientific Discovery through Computing (SCiDAC): Partnerships in Basic Energy Sciences</t>
  </si>
  <si>
    <t>The DOE SC programs in Basic Energy Sciences (BES) and Advanced Scientific Computing Research (ASCR) announce their interest in receiving applications from interdisciplinary teams to establish partnerships under the Scientific Discovery through Advanced Computing (SciDAC) program in specific targeted topic areas that relate to the BES and ASCR missions. Targeted topics are described in the Supplementary Information section below. 
This Announcement invites new research applications for the SciDAC Partnerships in BES that enable or accelerate scientific discovery employing DOE High-Performance Computing (HPC) facilities. For the purpose of this Announcement, the term â€œDOE HPCâ€ has been expanded to include the high-performance production computational systems at the National Energy Research Scientific Computing Center (NERSC), the Argonne Leadership Computing Facility (ALCF), the Oak Ridge Leadership Computing Facility (OLCF), or similar DOE computing facilities. DOE HPC includes the exascale machines Frontier and Aurora.</t>
  </si>
  <si>
    <t>Research, Development, and Training in Isotope Production</t>
  </si>
  <si>
    <t>Others (see text field entitled "Additional Information on Eligibility" for clarification) Please refer to page 3 of the NOFO.</t>
  </si>
  <si>
    <t xml:space="preserve">Isotopes are high-priority commodities of strategic importance for the Nation and are essential in medical diagnosis and treatment, discovery science, national security, industrial processes, advanced manufacturing, space exploration, communications, biology, archaeology, quantum information science, clean energy, environmental science, and other fields. Isotopes can directly enable emerging technologies and contribute to the economic, technical, and scientific strength of the United States. The DOE Office of Science Program for Isotope R D and Production (also referred to as the DOE Isotope Program or DOE IP) routinely funds research and development (R D) in isotope science to advance fundamental understanding and develop cutting edge and efficient technologies for enriching, producing, processing, recycling, and purifying radioactive and stable isotopes in short supply. This Notice of Funding Opportunity (NOFO) is narrowly focused on topics involving AI/ML, enhanced processing chemistry used in matter phase changes, and separation science. Applications incorporating effective ways to train the next generation of personnel with essential knowledge and skills related to the production, processing, and purification of radioactive and enriched stable isotopes are strongly encouraged. </t>
  </si>
  <si>
    <t>Maternal and Child Health Research Consortium (MCH RC)</t>
  </si>
  <si>
    <t>HHS-HRSA</t>
  </si>
  <si>
    <t>Health Resources and Services Administration</t>
  </si>
  <si>
    <t>Nonprofits that do not have a 501(c)(3) status with the IRS, other than institutions of higher education These types of domestic organizations (who are otherwise eligible as per the criteria above) may apply. Domestic means the 50 states, the District of Columbia, the Commonwealth of Puerto Rico, the Northern Mariana Islands, American Samoa, Guam, the U.S. Virgin Islands, the Federated States of Micronesia, the Republic of the Marshall Islands, and the Republic of Palau.  Public institutions of higher education  Non-profit institutions of higher education  Private non-profit entities  State, county, city, township, and special district governments, including the District of Columbia, domestic territories, and freely associated states  Independent school districts  Native American tribal governments  Native American tribal organizations</t>
  </si>
  <si>
    <t>The Maternal and Child Health Bureau Research Consortium Program (MCHB RCP) creates a national group of researchers to study maternal and child health (MCH). In the past, MCHB funded research networks, single investigator innovation studies, and field-initiated research studies. The MCHB RCP merges these programs into one. In FY 2025, this NOFO replaces the Research Network Program; including the Pregnancy-Related Care Research Network (PRCRN) and Pediatric Research in Office Settings (PROS).
 MCH RC recipients will develop research-practice partnerships[4] with community organizations, people and families with lived experience,[5] and MCHB programs such as Healthy Start, Maternal, Infant, and Early Childhood Home Visiting (MIECHV), and Title V programs. Through these partnerships, you will identify best practices for maximizing the impact of your research.
 You are expected to focus on one of the following categories. You can focus on one or more of the priority topics listed within each category:</t>
  </si>
  <si>
    <t>Rural Residency Planning and Development Technical Assistance (RRPD-TA) Program</t>
  </si>
  <si>
    <t>Special district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</si>
  <si>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HRSAâ€™s Rural Residency Planning and Development (RRPD) initiative improves and expands access to health care in rural areas by developing new, sustainable rural residency programs. This initiative comprises two programs: the RRPD grants program, which funds organizations to create new, sustainable rural residency programs, and this RRPD technical assistance (TA) program.
 The purpose of this cooperative agreement is to provide TA to organizations to create and sustain new rural residency programs that will expand the rural physician workforce. If you receive this award, you will provide TA, tools, and resources to organizations developing rural residency programs, such as RRPD award recipients and applicants, to help overcome the significant challenges and barriers they face.
 For this notice of funding opportunity (NOFO), rural residency programs:
 â€¢
 Are accredited physician residency programs.
 â€¢
 Train residents in rural training sites for greater than 50 percent of their time in residency.
 â€¢
 Focus on producing physicians who will practice in rural communities.
 This includes programs that meet the Accreditation Council for Graduate Medical Education (ACGME) Rural Track Program (RTP) designation, including both new programs seeking accreditation and existing programs that apply for a permanent complement increase to train additional residents at new rural training site(s).</t>
  </si>
  <si>
    <t>Early Career Research Program</t>
  </si>
  <si>
    <t>Others (see text field entitled "Additional Information on Eligibility" for clarification) In accordance with 2 CFR 910.126, Competition, eligibility for award is restricted to U.S. Institutions of Higher Education, DOE National Laboratories (listed at https://www.energy.gov/national-laboratories), and institutions operating SC Scientific User Facilities (listed at https://science.osti.gov/User-Facilities).This eligibility restriction is intended to create an opportunity for the most promising scientists who are (a) early in their careers, (b) in positions with sufficient permanence to support independent research efforts, and (c) for investigators not at DOE-affiliated institutions, in positions that require working with the students who will become the scientific workforce of the future.</t>
  </si>
  <si>
    <t>The Office of Scienceâ€™s (SC) mission is to deliver scientific discoveries and major scientific tools to transform our understanding of nature and advance the energy, economic, and national security of the United States (U.S.). SC is the Nationâ€™s largest Federal sponsor of basic research in the physical sciences and the lead Federal agency supporting fundamental scientific research for our Nationâ€™s energy future.Â· Science for energy, economic and national securityâ€•building a foundation of scientific and technical knowledge to spur discoveries and innovations for advancing the Departmentâ€™s mission. SC supports a wide range of funding modalities from single principal investigators to large team-based activities to engage in fundamental research on energy production, conversion, storage, transmission, and use, and on our understanding of the earth systems.Â· The frontiers of scienceâ€”exploring natureâ€™s mysteries from the study of fundamental subatomic particles, atoms, and molecules that are the building blocks of the materials of our universe and everything in it to the DNA, proteins, and cells that are the building blocks of life. Each of the programs in SC supports research probing the most fundamental disciplinary questions.The 21st Century tools of scienceâ€”providing the nationâ€™s researchers with 28 state-of-the-art national scientific user facilities, the most advanced tools of modern science, propelling the U.S. to the forefront of science, technology development, and deployment through innovation.SC is an established leader of the U.S. scientific discovery and innovation enterprise. Over the decades, SC investments and accomplishments in basic research and enabling research capabilities have provided the foundations for new technologies, businesses, and industries, making significant contributions to our nationâ€™s economy, national security, and quality of life.</t>
  </si>
  <si>
    <t>Rural Program of All-Inclusive Care for the Elderly (PACE) Planning and Development</t>
  </si>
  <si>
    <t>Nonprofits that do not have a 501(c)(3) status with the IRS, other than institutions of higher education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State and county health departments  Hospitals, including rural emergency hospitals  Community-based organizations  Federally qualified health centers  Rural health clinics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</si>
  <si>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this Rural Program of All-Inclusive Care for the Elderly (PACE) Planning and Development program is to improve health care in rural areas, including expanding access to medical care and long-term services, for rural aging populations by expanding PACE programs into rural areas.</t>
  </si>
  <si>
    <t>Public Education for Living Organ Donation Reimbursement Program (PE-LODRP)</t>
  </si>
  <si>
    <t>Native American tribal governments (Federally recognized) These types of domestic* organizations may apply:  Public institutions of higher education  Private institutions of higher education  Nonprofits having a 501(c)(3) IRS status  Nonprofits with an IRS status other than 501(c)(3)  For-profit organizations  Small businesses  State, county, city, township, and special district governments, including the District of Columbia, domestic territories, and the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</si>
  <si>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There remains a critical shortage of organs to meet the needs of individuals with end-stage organ failure who can benefit from an organ transplant. As of March 2024, there were approximately 89,000 patients on the organ transplant wait list waiting for a kidney and 9,800 patients waiting for a liver. Kidneys and livers combined represent approximately 96 percent of the organ needs among patients on the organ transplant wait list.
 People can donate a kidney, part of their liver, and certain other organs while alive. In 2023, nearly 7,000 people donated an organ while alive, including nearly 6,300 living kidney donors and 660 living liver donors.
 HRSAâ€™s Living Organ Donation Reimbursement Program (LODRP) provides financial assistance to people who wish to be living organ donors, but who might otherwise not be able to donate due to financial hardship. The program reimburses qualified expenses related to eligible living donorsâ€™ medical evaluations, surgeries, and follow-up visits, including travel, lost wages, child and elder care, and other expenses, as outlined in its notice about reimbursement of travel and subsistence expenses toward living organ donation program eligibility.
 From October 2007 to August 2024, the program (currently operated by the National Living Donor Assistance Center) received more than 18,000 applications for reimbursement by prospective living donors, approving nearly 89 percent of them. During this timeframe, NLDAC facilitated over 10,000 living organ donations. In 2023, the median household income for prospective living donor applicants to LODRP was approximately $66,000, which is 18 percent below the national median income level of $80,600.
 While great progress has been made in expanding access to living organ transplants through HRSAâ€™s LODRP program, we recognize that more needs to be done. For example, even though more than 60 percent of people on the national transplant waiting list are from a minority group, only approximately 40 percent of patients from a minority group received a living organ transplant through the program.
 To expand awareness and access to the LODRP, particularly among medically underserved communities, HRSA created the PE-LODRP in FY2025. The recipient of this award will work closely with HRSA and the LODRP award recipient to promote the program and to provide targeted outreach and education to communities historically underserved by the program.</t>
  </si>
  <si>
    <t>Living Organ Donation Reimbursement Program (LODRP)</t>
  </si>
  <si>
    <t>Small businesses In addition to transplant centers and qualified organ procurement organizations (OPOs), under 42 U.S.C. 273 (Section 371 of the Public Health Service Act), these types of domestic organizations may apply:  Public institutions of higher education  Private institutions of higher education  Nonprofits having a 501(c)(3) IRS status  Nonprofits with an IRS status other than 501(c)(3)  For-profit organizations  Small businesses  State, County, city, township, and special district governments, including the District of Columbia, domestic territories, and the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</si>
  <si>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The purpose of this program is to help reduce financial barriers for people who want to donate an organ. The program offers means-tested reimbursements for lost wages, transportation, lodging, meals, and dependent care (child care and elder care) expenses and other approved expenses, in accordance with established program eligibility guidelines.</t>
  </si>
  <si>
    <t>Poison Control Program Competitive Supplement</t>
  </si>
  <si>
    <t>Small businesses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</si>
  <si>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This notice announces the opportunity to apply for funding under the Poison Control Centers (PCC) Program for coverage of calls to the Poison Help Line originating from Puerto Rico.
 The goal of the Poison Control Centers program is to reduce poisonings and the harms resulting from poisonings by ensuring that individuals can connect to a Poison Control Center and obtain expert consultation on preventing and managing poisonings.
 The objectives of this program are to:
 1.
 Support poisoning prevention activities;
 2.
 Provide high-quality guidance and information to callers to the Poison Help Line;
 3.
 Provide treatment recommendations when poisonings occur;
 4.
 Collect data related to poisonings and poisoning outcomes; and
 5.
 Use data to inform public health and emergency preparedness responses.
 These will be accomplished by:
 1.
 Maintaining the number of calls[1] received by the Poison Help Line.
 2.
 Maintaining the percentage of human exposure poisoning case calls from health care facilities and practitioners.
 3.
 Increasing the percentage of human exposure poisoning cases with a completed follow-up contact.
 4.
 Increasing national data on poisonings available in the National Poison Data System (NPDS) for toxic exposure surveillance purposes.</t>
  </si>
  <si>
    <t>Rural Maternity and Obstetrics Management Strategies Program (Rural MOMS)</t>
  </si>
  <si>
    <t>Special district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Hospitals, including rural emergency hospitals.  Community-based organizations.  Community health centers, including federally qualified health centers.  Rural health clinics.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</si>
  <si>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Rural Maternity and Obstetrics Management Strategies (Rural MOMS) program is to support collaborative improvement and innovation networks to improve access to and delivery of maternity and obstetrics care in rural areas.</t>
  </si>
  <si>
    <t>Autism Research Consortium (Autism RC)</t>
  </si>
  <si>
    <t>State governments These types of domestic organizations may apply. Domestic means the 50 states, the District of Columbia, the Commonwealth of Puerto Rico, the Northern Mariana Islands, American Samoa, Guam, the U.S. Virgin Islands, the Federated States of Micronesia, the Republic of the Marshall Islands, and the Republic of Palau.  Public institutions of higher education  Private institutions of higher education  Nonprofits with or without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t>
  </si>
  <si>
    <t>The Maternal and Child Health Bureau Research Consortium Program (MCHB RCP) creates a national group of researchers to study maternal and child health (MCH).
 In the past, MCHB funded research networks, single investigator innovation studies, and field-initiated research studies. The MCHB RCP merges these programs into one. In FY25, this NOFO replaces the Research Network program, including the Autism Intervention Research Network on Behavioral Health (AIR-B) and the Autism Intervention Research Network on Physical Health (AIR-P).
 Parent-reported data from the 2022 National Survey of Childrenâ€™s Health (NSCH) documented that 3.6% of children ages 3-17 years had a current diagnosis of autism, representing nearly 2.2 million children and adolescents.[5] Autistic children have higher rates of co-occurring mental and behavioral health conditions compared to children without autism, and access to adequate health care is a significant challenge for children with autism.[6]
 Of particular concern are the disparities in timing of diagnosis, access to services, and quality of care.[7] Research about effective and scalable interventions and services is needed to address the diverse and complex needs of autistic children and their families, with a focus on underserved and vulnerable populations.
 Autism RC recipients will develop research-practice partnerships[8] with community organizations, people and families with lived experience,[9] and MCHB programs. Through these partnerships, you will identify best practices for maximizing the impact of research. Research Centers will improve systems of care by translating and implementing evidence-based interventions to improve physical and behavioral health of children with autism and other DD across the lifespan.
 The Autism RC will advance the evidence base on effective interventions, services, supports, and systems for children and adolescents with autism and other DD. Priority areas for the Autism RC were selected based on alignment with MCHBâ€™s strategic priorities including the Blueprint for Change,[10] and the 2021-2023 IACC Strategic Plan.[11]
 Each application under this NOFO will focus on one of the following categories.
 We anticipate funding up to 2 awards in each category. You are expected to focus on one or more of the priority topics listed within your chosen category (if applicable). To respond to this NOFO, you must focus on children or adolescents with autism and other DD.</t>
  </si>
  <si>
    <t>Delta Region Community Health Systems Development Program</t>
  </si>
  <si>
    <t>City or township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</si>
  <si>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Delta Region Community Health Systems Development Program provides comprehensive, multi-year technical assistance (TA) to help rural healthcare organizations in the rural counties and parishes of the Delta region improve healthcare services. The goal of this program is to strengthen healthcare delivery in rural areas of the Delta region. This will be done by improving financial and operational performance as well as the quality of care in rural healthcare organizations.</t>
  </si>
  <si>
    <t>Modeling Infectious Diseases in Healthcare (MInD Healthcare) to Improve Pathogen Prevention and Healthcare Delivery</t>
  </si>
  <si>
    <t>City or township governments Applicant organizations that request funding above the ceiling amount listed in Funding Details of this NOFO will be considered non-responsive and will not be passed along for further review.</t>
  </si>
  <si>
    <t>The purpose of this Notice of Funding Opportunity (NOFO) is to support development of innovative and applied mathematical models and computational tools for:Modeling the spread of pathogens in healthcare settings, for example, healthcare-associated infections (HAIs) and antimicrobial resistant organisms (AROs).Predicting outbreaks of HAI pathogens and trends in the burden of antimicrobial resistant and susceptible HAIs.Assessing the effectiveness of intervention strategies.This NOFO will increase training and workforce development opportunities about applied public health modeling, including collaboration with public health partners. Models developed by HAI and ARO leaders within the Modeling Infectious Diseases in Healthcare (MInD Healthcare) network could help public health partners make informed decisions and optimize evidence-based prevention strategies to respond to evolving public health needs and emergencies in healthcare settings.INFORMATIONAL CALL SCHEDULED FOR MONDAY, FEBRUARY 10, 2025, 3:00 - 4:30 PM HAS BEEN CANCELED.</t>
  </si>
  <si>
    <t>PLANT ENGINEERING TO REVOLUTIONIZE SUSTAINABLE ENERGY PRODUCTION AND HEIGHTEN OPPORTUNITIES FOR NOVEL EFFICIENCY (PERSEPHONE)</t>
  </si>
  <si>
    <t>DOE-ARPAE</t>
  </si>
  <si>
    <t xml:space="preserve">Advanced Research Projects Agency Energy </t>
  </si>
  <si>
    <t>Unrestricted (i.e., open to any type of entity above), subject to any clarification in text field entitled "Additional Information on Eligibility" See Section II.A. of the NOFO.</t>
  </si>
  <si>
    <t>This is Modification 01 to the NOFO:
â€¢ Clarified the meaning of the Program Policy Factors in Section V.C.
DE-FOA-0003551 - PLANT ENGINEERING TO REVOLUTIONIZE SUSTAINABLE ENERGY PRODUCTION AND HEIGHTEN OPPORTUNITIES FOR NOVEL EFFICIENCY (PERSEPHONE)
To obtain a copy of the Notice of Funding Opportunity (NOFO) please go to ARPA-E eXCHANGE at https://arpa-e-foa.energy.gov.  To apply to this NOFO, Applicants must register with and submit application materials through ARPA-E eXCHANGE (https://arpa-e-foa.energy.gov/Registration.aspx).  For detailed guidance on using ARPA-E eXCHANGE, please refer to the ARPA-E eXCHANGE User Guide (https://arpa-e-foa.energy.gov/Manuals.aspx).  ARPA-E will not review or consider application materials submitted through other means. For problems with ARPA-E eXCHANGE, email ExchangeHelp@hq.doe.gov (with NOFO name and number in the subject line). Questions about this NOFO? Check the Frequently Asked Questions available at http://arpa-e.energy.gov/faq.  For questions that have not already been answered, email ARPA-E-CO@hq.doe.gov.  
Agency Overview:
The Advanced Research Projects Agency â€“ Energy (ARPA-E), an organization within the Department of Energy (DOE), is chartered by Congress in the America COMPETES Act of 2007 (P.L. 110-69), as amended by the America COMPETES Reauthorization Act of 2010 (P.L. 111-358), as further amended by the Energy Act of 2020 (P.L. 116-260):
â€œ(A) to enhance the economic and energy security of the United States through the development of energy technologies thatâ€”
(i) reduce imports of energy from foreign sources;
(ii) reduce energy-related emissions, including greenhouse gases;
(iii) improve the energy efficiency of all economic sectors; 
(iv) provide transformative solutions to improve the management, clean-up, and disposal of radioactive waste and spent nuclear fuel; and
(v) improve the resilience, reliability, and security of infrastructure to produce, deliver, and store energy; and
(B) to ensure that the United States maintains a technological lead in developing and deploying advanced energy technologies.â€
ARPA-E issues this Notice of Funding Opportunity (NOFO) under its authorizing statute codified at 42 U.S.C. Â§ 16538. The NOFO and any cooperative agreements or grants made under this NOFO are subject to 2 C.F.R. Part 200 as supplemented by 2 C.F.R. Part 910.
ARPA-E funds research on, and the development of, transformative science and technology solutions to address the energy and environmental missions of the Department. The agency focuses on technologies that can be meaningfully advanced with a modest investment over a defined period of time in order to catalyze the translation from scientific discovery to early-stage technology. For the latest news and information about ARPA-E, its programs and the research projects currently supported, see: http://arpa-e.energy.gov/.
ARPA-E funds transformational research. Existing energy technologies generally progress on established â€œlearning curvesâ€ where refinements to a technology and the economies of scale that accrue as manufacturing and distribution develop drive improvements to the cost/performance metric in a gradual fashion. This continual improvement of a technology is important to its increased commercial deployment and is appropriately the focus of the private sector or the applied technology offices within DOE. In contrast, ARPA-E supports transformative research that has the potential to create fundamentally new learning curves. ARPA-E technology projects typically start with cost/performance estimates well above the level of an incumbent technology. Given the high risk inherent in these projects, many will fail to progress, but some may succeed in generating a new learning curve with a projected cost/performance metric that is significantly better than that of the incumbent technology. ARPA-E will provide support at the highest funding level only for submissions with significant technology risk, aggressive timetables, and careful management and mitigation of the associated risks.
ARPA-E funds technology with the potential to be disruptive in the marketplace. The mere creation of a new learning curve does not ensure market penetration. Rather, the ultimate value of a technology is determined by the marketplace, and impactful technologies ultimately become disruptive â€“ that is, they are widely adopted and displace existing technologies from the marketplace or create entirely new markets. ARPA-E understands that definitive proof of market disruption takes time, particularly for energy technologies. Therefore, ARPA-E funds the development of technologies that, if technically successful, have clear disruptive potential, e.g., by demonstrating capability for manufacturing at competitive cost and deployment at scale. 
 ARPA-E funds applied research and development (R&amp;D). The Office of Management and Budget defines â€œapplied researchâ€ as an â€œoriginal investigation undertaken in order to acquire new knowledgeâ€¦directed primarily towards a specific practical aim or objectiveâ€ and defines â€œexperimental developmentâ€ as â€œcreative and systematic work, drawing on knowledge gained from research and practical experience, which is directed at producing new products or processes or improving existing products or processes.â€
Applicants interested in receiving financial assistance for basic research (defined by the Office of Management and Budget as â€œexperimental or theoretical work undertaken primarily to acquire new knowledge of the underlying foundations of phenomena and observable factsâ€) should contact the DOEâ€™s Office of Science (http://science.energy.gov/). Office of Science national scientific user facilities (http://science.energy.gov/user-facilities/) are open to all researchers, including ARPA-E Applicants and awardees. These facilities provide advanced tools of modern science including accelerators, colliders, supercomputers, light sources and neutron sources, as well as facilities for studying the nanoworld, the environment, and the atmosphere. Projects focused on early-stage R&amp;D for the improvement of technology along defined roadmaps may be more appropriate for support through the DOE applied energy offices including: the Office of Energy Efficiency and Renewable Energy (http://www.eere.energy.gov/), the Office of Fossil Energy and Carbon Management (https://www.energy.gov/fecm/office-fossil-energy-and-carbon-management), the Office of Nuclear Energy (http://www.energy.gov/ne/office-nuclear-energy), and the Office of Electricity (https://www.energy.gov/oe/office-electricity).
ARPA-E encourages submissions stemming from ideas that still require proof-of-concept R&amp;D efforts as well as those for which some proof-of-concept demonstration already exists. Submissions can propose a project with the end deliverable being an extremely creative, but partial solution.
Program Overview:
The goal of the PERSEPHONE program is to develop disruptive new technologies for bioenergy crop genetic engineering. Bioenergy provides about 5% of domestic energy consumption and has the potential to provide 5-10% more. Agriculture also could revolutionize the energy sector in other ways, such as providing precursors for chemicals and materials that are currently derived from petroleum. However, bioenergy crops may not maintain their current utility, much less achieve their potential, without transformative advances in tools to engineer them. Genetic engineering is an essential strategy to realize U.S. bioenergy potential and security.
The PERSEPHONE program will develop high-performance tools for bioenergy crop engineering, create novel genetic engineering modalities, and spur adoption by supporting innovative research on biocontainment. Specifically, PERSEPHONE aims to support the development of tools that could lead to an annual impact of the production of at least 1 quad of energy or mitigation of more than 60 MT of carbon dioxide equivalents (CO2e).
The program will support projects in three areas:   
â€¢	Technical Category A will develop robust, high-performing tools for the genetic engineering of bioenergy crops that overcome transformation genotype dependence, increase throughput 10x, and/or reduce cost and timeline by 4x and 2x, respectively.  
â€¢	Technical Category B will support the creation of radically new technologies for plant genetic engineering that have a pathway to achieve metrics well beyond the targets established in Category A. 
â€¢	Technical Category C will support adoption of genetically engineered bioenergy crops by developing technologies to reduce the risks of invasiveness to less than 0.1 percent and eliminate the flow of transgenes into the environment.
The program encourages the formation of multidisciplinary teams with expertise in relevant areas such as synthetic biology, bioengineering, plant genomics and genetics, materials, robotics, and machine learning. If PERSEPHONE is successful, the new genetic engineering tools will enable the rapid development and commercialization of bioenergy applications in areas as diverse as Sustainable Aviation Fuel (SAF), nitrogen management, and energy-efficient materials.
To view the NOFO in its entirety, please visit https://arpa-e-foa.energy.gov.</t>
  </si>
  <si>
    <t>State and Impact of the Humanities</t>
  </si>
  <si>
    <t>Nonprofits having a 501(c)(3) status with the IRS, other than institutions of higher education See C. Eligibility Information in the Notice of Funding Opportunity.</t>
  </si>
  <si>
    <t>The National Endowment for the Humanities (NEH) Office of Data and Evaluation is accepting applications for the State and Impact of the Humanities program. This program supports data-grounded research studies that investigate the state, impact, and value of the humanities in the United States. Research designs may be quantitative, qualitative, or mixed, and should involve the active participation of people working in the humanities.</t>
  </si>
  <si>
    <t>Fiscal Year 2025 NACA Program</t>
  </si>
  <si>
    <t>USDOT-CDFI</t>
  </si>
  <si>
    <t>Community Development Financial Institutions</t>
  </si>
  <si>
    <t>Others (see text field entitled "Additional Information on Eligibility" for clarification) Eligibility requirements for the Financial Assistance (FA) and Technical Assistance (TA) components of the FY 2025 NACA Program can be found in the FY 2025 Notice of Funds Availability (NOFA).</t>
  </si>
  <si>
    <t>Through the Native American CDFI Assistance Program (NACA Program), the CDFI Fund provides (i) Base-FA awards of up to $1.5 million to Certified, Native CDFIs to build their financial capacity to lend to their Eligible Markets and/or Target Markets and (ii) TA grants of up to $200,000 to entities that are, will become, or will create a Native CDFI. For more detailed information, please refer to the Notice of Funds Availability (NOFA) found on the CDFI Fundâ€™s website.</t>
  </si>
  <si>
    <t>Fiscal Year 2025 CDFI Program</t>
  </si>
  <si>
    <t>Others (see text field entitled "Additional Information on Eligibility" for clarification) Eligibility requirements for the Financial Assistance and Technical Assistance components of the FY 2025 CDFI Program can be found in the FY 2025 Notice of Funds Availability (NOFA).</t>
  </si>
  <si>
    <t>Through the CDFI Program, the CDFI Fund provides (i) Base-FA awards of up to $1 million to Certified Community Development Financial Institutions (CDFIs) to build their financial capacity to lend to their Eligible Markets and/or Target Markets, and (ii) TA grants of up to $150,000 to build Certified and Emerging CDFIsâ€™ organizational capacity to serve their Eligible Markets and/or Target Markets. For more detailed information, please refer to the NOFA found on the CDFI Fundâ€™s website.</t>
  </si>
  <si>
    <t>Aligning Manufacturability   Pre-production Design (AMPD) for Storage Technologies</t>
  </si>
  <si>
    <t>DOE-NETL</t>
  </si>
  <si>
    <t>National Energy Technology Laboratory</t>
  </si>
  <si>
    <t>Aligning Manufacturability &amp; Pre-production Design (AMPD) for Storage Technologies
The AMPD NOFO is soliciting applications to improve the manufacturability of energy storage technologies through pre-production design innovations, setting the stage for manufacturing scale-up to meet the energy storage needs of American consumers.</t>
  </si>
  <si>
    <t>DE-FOA-0003520 Maximizing Algal System Yield (MASY)</t>
  </si>
  <si>
    <t>DOE-GFO</t>
  </si>
  <si>
    <t>Golden Field Office</t>
  </si>
  <si>
    <t>State governments In accordance with 2 CFR 910.126, Competition, eligibility for this NOFO is restricted because BETO provides substantial appropriations for ongoing research and development (R D) at national laboratories. To ensure there are funding opportunities for the private sector, consistent with Congressional and DOE priorities, this NOFO is restricted to exclude DOE/NNSA FFRDCs/National Laboratories from applying for funding as a prime recipient, although those entities are eligible to participate as subrecipients.</t>
  </si>
  <si>
    <t>This Notice of Funding Opportunity (NOFO) seeks applications to address technical challenges in algal systems that currently limit expansion of algae as a domestic bioenergy resource. The Maximizing Algal System Yield (MASY) NOFO will support high-impact, applied R&amp;D focused on relieving â€˜pinch pointsâ€™ in algal system cultivation and preprocessing, with the goal of improving process economics for biofuels and/or bioproducts.
Please see the full FOA document at https://eere-exchange.energy.gov/.
Questions regarding the FOA must be submitted to FY25BETOMASYNOFO@ee.doe.gov.
The required Concept Paper due date for this FOA is 2/21/2025 at 5PM ET. The Full Application due date for this FOA is 5/15/2025 at 5PM ET.
As stated in the Notice of Intent (search DE-FOA-0003517 in eXCHANGE), a Teaming Partner List has been compiled to encourage collaboration and facilitate the formation of new project teams. Visit: TPL-0000064 Teaming Partner List for DE-FOA-0003517 NOI to Publish DE-FOA-0003518 and DE-FOA-0003520
The eXCHANGE system is currently designed to enforce hard deadlines for Concept Paper and Full Application submissions. The APPLY and SUBMIT buttons automatically disable at the defined submission deadlines. The intention of this design is to consistently enforce a standard deadline for all applicants.
Applicants that experience issues with submissions PRIOR to the FOA Deadline: In the event that an Applicant experiences technical difficulties with a submission, the Applicant should contact the eXCHANGE helpdesk for assistance (exchangehelp@hq.doe.gov). The eXCHANGE helpdesk and/or the EERE eXCHANGE System Administrators (eXCHANGE@ee.doe.gov) will assist the Applicant in resolving all issues.
Applicants that experience issues with submissions that result in a late submission: In the event that an Applicant experiences technical difficulties with a submission that results in a late submission, the Applicant should contact the eXCHANGE helpdesk for assistance (exchangehelp@hq.doe.gov). The eXCHANGE helpdesk and/or the EERE eXCHANGE System Administrators (eXCHANGE@ee.doe.gov) will assist the Applicant in resolving all issues (including finalizing the submission on behalf of, and with the Applicant's concurrence). DOE will only accept late applications when the Applicant has a) encountered technical difficulties beyond their control; b) has contacted the eXCHANGE helpdesk for assistance; and c) has submitted the application through eXCHANGE within 24 hours of the FOA's posted deadline.</t>
  </si>
  <si>
    <t>Energy Technology Deployment on Tribal Lands   2025</t>
  </si>
  <si>
    <t>This Notice is issued so that interested parties are aware of DOEâ€™s intention to issue this Notice of Funding Opportunity (NOFO) in the near term. All of the information contained in this Notice is subject to change. DOE will not respond to questions concerning this Notice. However, once the NOFO has been released, DOE will provide an avenue for potential Applicants to submit questions. Applications will be due about 90 days after the NOFO is issued.
Through this planned NOFO, the DOE Office of Indian Energy plans to solicit applications from Indian Tribes, which include Alaska Native Regional Corporations and Village Corporations, Intertribal Organizations, and Tribal Energy Development Organizations to:
1.	Install energy generating system(s) and/or energy efficiency measure(s) for Tribal Building(s) (Area of Interest 1); or,
2.	Deploy community-scale energy generating system(s) or energy storage on Tribal Lands (Area of Interest 2); or,
3.	Install integrated energy system(s) for autonomous operation (independent of the traditional centralized electric power grid) to power a single or multiple Essential Tribal Buildings during emergency situations or for tribal community resilience (Area of Interest 3); or,
4.	Power unelectrified Tribal Buildings (Area of Interest Area 4).
Except for Area of Interest 4, projects proposed under this NOFO are intended for Tribal Buildings that are either (1) grid-connected (which, for the purposes of the planned NOFO, means the Tribal Building(s) are connected to the traditional centralized electric power grid), or (2) connected to a stand-alone (isolated) microgrid that operates autonomously from the traditional centralized electric power grid.
Area of Interest 4 is intended to deploy integrated energy system(s) or energy infrastructure to provide electricity to Tribal Buildings which otherwise would be unelectrified, where â€œunelectrifiedâ€ means Tribal Building(s) that are (1) not connected to the traditional centralized electric power grid, and (2) not connected to a stand-alone (isolated) microgrid that operates autonomously from the traditional centralized electric power grid.
The DOE Office of Indian Energy envisions awarding multiple financial assistance awards in the form of grants. The estimated period of performance for each award will be approximately from two (2) to four (4) years, including a 12-month mandatory verification period. Under the planned NOFO, DOEâ€™s Office of Indian Energy anticipates making awards that range from $100,000 to $2,500,000 or from $250,000 to $5,000,000, depending on the Area of Interest.
The DOE Office of Indian Energy plans to issue the NOFO spring 2025. If Applicants wish to be notified when the NOFO is issued, they should subscribe to the DOE Office of Indian Energy email newsletter list on its website homepage (https://energy.gov/indianenergy). When the NOFO is released, applications will be accepted only through IE-Exchange (https://ie-exchange.energy.gov). NO APPLICATIONS WILL BE ACCEPTED THROUGH THIS NOTICE. See the attached NOI for more details and the registrations needed prior to submitting an application.
This is a NOI only. DOE may issue a NOFO as described herein, may issue a NOFO that is significantly different than the NOFO described herein, or DOE may not issue a NOFO at all.</t>
  </si>
  <si>
    <t>Bison Production and Marketing Grant Program</t>
  </si>
  <si>
    <t>USDA-AMS</t>
  </si>
  <si>
    <t>Agricultural Marketing Service</t>
  </si>
  <si>
    <t>Native American tribal governments (Federally recognized) See RFA section 3.0</t>
  </si>
  <si>
    <t>The purpose of BPMGP is to support projects that strengthen and enhance the production and marketing of bison and bison products in the United States, including the improvement of business and resource development and the development of innovative approaches to solve long-term needs.High quality applications will propose practical solutions for succinctly described needs and problems in the bison industry and address those problems over a broad relevant geographic coverage area. Applicants should seek to deliver measurable benefits for bison producers, encourage partnerships among bison industry organizations and tribes, and reduce duplication of effort among participating organizations.</t>
  </si>
  <si>
    <t>Draft National Landscape of High-Impact Crosscutting Opportunities for Next Generation Harsh Environment Materials and Manufacturing Process Research, Development, and Demonstration Request for Information</t>
  </si>
  <si>
    <t>The National Landscape of High-Impact Crosscutting Opportunities for Next Generation Harsh Environment Materials (HEMs) and Manufacturing Process Research, Development, and Demonstration identifies the highest impact investment opportunities for high-performance materials designed for harsh service environments. Advanced, high-performance HEM components with extended life and higher reliability are needed to achieve energy efficiency gains, emissions reductions, and lowered overall costs through improvements in electric energy production/conversion, energy storage, and energy utilization technologies.
The purpose of this RFI is to solicit feedback from industry, academia, research laboratories, government agencies, and other stakeholders to ensure AMMTOâ€™s technology assessments within this space are optimally positioned to allow investments that address the major opportunities and challenges. 
This is solely a request for information and not a Notice of funding Opportunity (NOFO). AMMTO is not accepting applications.</t>
  </si>
  <si>
    <t>Request for Information (RFI) on Public Feedback on AMMTO Wide Bandgap Power Electronics Strategic Framework</t>
  </si>
  <si>
    <t>Power electronics (PE) are essential to the conversion and control of electrical power in U.S. critical infrastructure. As this infrastructureâ€”including grid-integrated power, industrial manufacturing, transportation, and digital networking and communicationsâ€”brings more innovative technologies online to meet changing market demands and improve energy security and resiliency, it also places significantly higher performance demands on PE technologies. Silicon (Si) PE have been relied on for decades to meet infrastructureâ€™s power conversion and control needs, but these intensifying performance requirements have surpassed what traditional Si PE can offer.</t>
  </si>
  <si>
    <t>Disability and Rehabilitation Research Projects (DRRP) Program: Center on Knowledge Translation for Employment Research</t>
  </si>
  <si>
    <t>Native American tribal governments (Federally recognized)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</si>
  <si>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Disability and Rehabilitation Research Projects (DRRPs) is to achieve the goals of and improve the effectiveness of services authorized under the Rehabilitation Act, by generating new knowledge, or developing methods, procedures, and rehabilitation technologies that advance a wide range of outcomes among people with disabilities, especially people with disabilities who have the greatest support needs.  Under this particular DRRP priority, grantees must promote awareness and use of disability employment research findings and products to improve employment outcomes among people with disabilities. This grant will have a 60-month project period, with five 12-month budget periods.</t>
  </si>
  <si>
    <t>Limited Competition: Clinical Research Sites (CRS) for the MACS/WIHS Combined Cohort Study (MWCCS) (U01 Clinical Trial Not Allowed)</t>
  </si>
  <si>
    <t>Private institutions of higher education Other Eligible Applicants include the following:
See NOFO for further eligibility criteria.
Non-domestic (non-U.S.) Entities (Foreign Organizations) are not eligible to apply.
Non-domestic (non-U.S.) components of U.S. Organizations are not eligible to apply.
Foreign components, as defined in the NIH Grants Policy Statement, are not allowed.</t>
  </si>
  <si>
    <t>The purpose of this Notice of Funding Opportunity (NOFO) is to renew the MACS/WIHS Combined Cohort Study of HIV in United States Adults (MWCCS) for a 6-year project period (2026-2032). Continuation of this epidemiological cohort study of middle-aged and older people living with HIV (PLWH), along with comparable people living without HIV (PLWOH) will enable the continued follow-up of a deeply phenotyped cohort of more than 5,600 participants from across the United States. This initiative will utilize a populomics approach, i.e., examination of health determinants across multiple scales of influence (e.g. molecular, cellular, physiological, lifestyle/behavioral, household, neighborhood, environmental, cultural, and sociopolitical) using multi-disciplinary methods to investigate the web of influences impacting the health, quality of life, and survival of adults living with HIV.
This NOFO is limited to institutions who were funded under RFA-HL-19-008 and will fund up to 13 Clinical Research Sites (CRS) for the MWCCS.
This NOFO runs in parallel with two companion U01 NOFOs:
RFA-HL-26-010 (Limited Competition: Data Analysis and Sharing Center (DASC) for the MACS/WIHS Combined Cohort Study (MWCCS) (U01 Clinical Trials Not Allowed)) and
RFA-HL-26-011 (Leadership and Coordination Center (LACC) for the MACS/WIHS Combined Cohort Study (MWCCS) (U01 Clinical Trials Not Allowed)).</t>
  </si>
  <si>
    <t>Limited Competition: Data Analysis and Sharing Center (DASC) for the MACS/WIHS Combined Cohort Study (MWCCS) (U01 Clinical Trials Not Allowed)</t>
  </si>
  <si>
    <t>Public and State controlled institutions of higher education Other Eligible Applicants include the following:
See NOFO for further eligibility criteria.
Non-domestic (non-U.S.) Entities (Foreign Organizations) are not eligible to apply.
Non-domestic (non-U.S.) components of U.S. Organizations are not eligible to apply.
Foreign components, as defined in the NIH Grants Policy Statement, are not allowed.</t>
  </si>
  <si>
    <t>The purpose of this Notice of Funding Opportunity (NOFO) is to renew the MACS/WIHS Combined Cohort Study of HIV in United States Adults (MWCCS) for a 7-year project period (2026-2033). Continuation of this epidemiological cohort study of middle-aged and older people living with HIV (PLWH), along with comparable individuals living without HIV (PLWOH) will enable the continued follow-up of a deeply phenotyped cohort of approximately 5,500 participants from across the United States. This initiative will utilize a populomics approach, i.e., examination of health determinants across multiple scales of influence (e.g. molecular, cellular, physiological, lifestyle/behavioral, household, neighborhood, environmental, cultural, and sociopolitical) using multi-disciplinary methods to investigate the web of influences impacting the health, quality of life, and survival of adults living with HIV.
This NOFO seeks applications to fund a single Data Analysis and Sharing Center (DASC) for the MWCCS, with competition limited to institutions who were funded under RFA-HL-19-007.</t>
  </si>
  <si>
    <t>National Human Trafficking Hotline (NHTH)</t>
  </si>
  <si>
    <t>HHS-ACF-OTIP</t>
  </si>
  <si>
    <t>Administration for Children and Families-IOAS-OTIP</t>
  </si>
  <si>
    <t>State governments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</si>
  <si>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The National Human Trafficking Hotline (NHTH) is a national toll-free hotline that operates 24 hours a day, every day of the year via telephone, text, and chat, to assist adults and minors who have experienced a severe form of human trafficking as defined by the Trafficking Victims Protection Act of 2000.The objectives of the NHTH include:Operate the NHTHâ€™s telephone, text, chat, and website via a coordinated national communications system available 24 hours a day.   Provide timely information and service referrals to victims of human trafficking using a trauma-informed, person-centered, culturally responsive, and linguistically appropriate approach.Notify law enforcement agencies of potential cases of human trafficking, where appropriate; andEstablish and maintain a comprehensive online directory of community-based service providers in communities across the United States.  Develop trusted relationships to identify, update, and maintain comprehensive internal and online referral directories. Directories must include vetted organizations equipped to meet the service needs of survivors and/or respond to tips of potential human trafficking in accordance with relevant referral protocols.</t>
  </si>
  <si>
    <t>Leadership and Coordination Center (LACC) for the MACS/WIHS Combined Cohort Study (MWCCS) (U01 Clinical Trials Not Allowed)</t>
  </si>
  <si>
    <t>Native American tribal organizations (other than Federally recognized tribal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</si>
  <si>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The purpose of this Notice of Funding Opportunity (NOFO) is to renew the MACS/WIHS Combined Cohort Study of HIV in United States Adults (MWCCS) for a 6-year project period (2026-2032). Continuation of this epidemiological cohort study of middle-aged and older people living with HIV (PLWH), along with comparable individuals living without HIV (PLWOH) will enable the continued follow-up of a deeply phenotyped cohort of approximately 5,600 participants from across the United States. This initiative will utilize a populomics approach, i.e., examination of health determinants across multiple scales of influence (e.g. molecular, cellular, physiological, lifestyle/behavioral, household, neighborhood, environmental, cultural, and sociopolitical) using multi-disciplinary methods to investigate the web of influences impacting the health, quality of life, and survival of adults living with HIV.
This NOFO seeks applications to fund a single Leadership and Coordination Center (LACC) for the MWCCS.
This NOFO runs in parallel with two companion U01 NOFOs:
RFA-HL-26-009 (Limited Competition: Clinical Research Sites (CRS) for the MACS/WIHS Combined Cohort Study (MWCCS) (U01 Clinical Trials Not Allowed)) and 
RFA-HL-26-010 (Limited Competition: Data Analysis and Sharing Center (DASC) for the MACS/WIHS Combined Cohort Study (MWCCS) (U01 Clinical Trials Not Allowed))</t>
  </si>
  <si>
    <t>Sober Truth on Preventing Underage Drinking Act (STOP Act) Grant Program</t>
  </si>
  <si>
    <t>Others (see text field entitled "Additional Information on Eligibility" for clarification) Eligibility for this program is statutorily limited to domestic public and private nonprofit entities that are current or former Drug Free Communities (DFC) Support Program recipients.</t>
  </si>
  <si>
    <t>The purpose of this program is to prevent and reduce alcohol use among youth and young adults ages 12 to 20 in communities throughout the United States. Award recipients will be expected to implement activities that support capacity building such as implementing evidence-based community approaches, enhancing collaboration, cooperation and coordination among communities, federal, state, and local and tribal governments, and convening Town Halls. With this program, SAMHSA aims to address the problem of underage drinking across the United States.</t>
  </si>
  <si>
    <t>Strengthening American Infrastructure</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</si>
  <si>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*Who May Serve as PI:
PIs must hold appointments at U.S.-based campuses/offices of eligible organizations (IHEs, Non-profit, non-academic organizations, For-profit organizations, Tribal Nations). There are no restrictions on who may serve as co-PIs, Senior/Key Personnel, or Consultant.</t>
  </si>
  <si>
    <t>Strengthening American Infrastructure (SAI) is an NSF program seeking to stimulate human-centered, use-inspired, fundamental and potentially transformative research aimed at strengthening America s infrastructure. Effective infrastructure provides a strong foundation for socioeconomic vitality and broad improvement in quality of life. Robust, reliable and effective infrastructure spurs private-sector innovation, grows the economy, creates jobs, makes public-sector service provision more efficient, strengthens communities, promotes equal opportunity, protects the natural environment, enhances national security and fuels American leadership. Achieving these objectives requires the integration of expertise from across all science and engineering disciplines. SAI focuses on how fundamental knowledge about human reasoning and decision-making, governance, and social and cultural processes enables the building and maintenance of effective infrastructure that improves lives and society and builds on advances in technology and engineering. Successful projects will represent a convergence of expertise in one or more social, behavioral or economic sciences, deeply integrated with other disciplines to support substantial and potentially pathbreaking fundamental research applied to strengthening a specific focal infrastructure.
General inquiries regarding this funding opportunity should be sent toNSF-SAI@nsf.gov.</t>
  </si>
  <si>
    <t>High-Energy-Density Laboratory Plasma Science</t>
  </si>
  <si>
    <t xml:space="preserve">The DOE SC program in Fusion Energy Sciences (FES) and the NNSA Defense Program (DP) Office of Experimental Sciences jointly announce their interests in receiving applications for new and renewal awards for research in High-Energy-Density Laboratory Plasma Science. All individuals or groups planning to submit applications for new or renewal funding in Fiscal Year 2025 should do so in response to this Notice of Funding Opportunity (NOFO). This NOFO is part of the SC-NNSA Joint Program in High-Energy-Density Laboratory Plasmas, a partnership aimed at advancing fundamental high-energy-density science within the DOE.
 </t>
  </si>
  <si>
    <t>Cooperative Agreement for affiliated Partner with Great Lakes   Northern Forest Cooperative Ecosystem Studies Unit (CESU)</t>
  </si>
  <si>
    <t>Others (see text field entitled "Additional Information on Eligibility" for clarification) This financial assistance opportunity is being issued under a Cooperative Ecosystem Studies Unit (CESU). CESU s are partnerships that provide research, technical assistance, and education. Eligible recipients must be a participating partner of the Great Lakes Northern Forest CESU Program.</t>
  </si>
  <si>
    <t>The US Geological Survey is offering a funding opportunity to a CESU partner for research in developing sensor technology for measuring organic contaminants, such as per- and polyfluoroalkyl substances (PFAS), in water.</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</si>
  <si>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a participating partner of the Great Lakes Northern Forests Cooperative Ecosystem Studies Unit (CESU) Program.</t>
  </si>
  <si>
    <t>The US Geological Survey (USGS) is offering a funding opportunity to a CESU partner for research in developing a new tool that supports the use of established sediment bioavailability and toxicity screening metrics for assessing aquatic benthic invertebrate injury associated with contaminated sediments. The overall goal is to develop a user-friendly dashboard tool to support the use of sediment chemistry in injury assessment.  The tool should contain references for standard methods, toxicity screening values and mechanistic models, and information integration within a graphic interface.  A dashboard tool using graphical interfaces and calculation software (such as Excel) is recommended because it can be easily downloaded, Natural Resource Damage Assessment research (NRDAR) practitioners are familiar with Excel, and the interface can be easily updated with the most recent screening criteria.</t>
  </si>
  <si>
    <t>Cooperative Agreement for affiliated Partner with North Atlantic Coast Cooperative Ecosystem Studies Unit (CESU)</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</si>
  <si>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participating partners of the North Atlantic Coast Cooperative Ecosystem Studies Unit Program.</t>
  </si>
  <si>
    <t>U.S. Geological Surveyâ€™s (USGS) Powell Center is offering a funding opportunity to a CESU Partner for research on â€œA global synthesis of flood impacts: Understanding the country-level vulnerability and causesâ€ This research will conduct the first comprehensive synthesis of how flood impacts vary globally across different demographics and as a function of flood risk exposure and protection levels. Data will be gathered to assemble an aggregated global flood impact database, which will be used to develop a sector-specific definitional framework of floods and synthesize how impacts and risks vary across different sectors (e.g., urban, transportation, agriculture, power systems) and demographics (e.g., poverty, race, and human development) and investment in flood protection.</t>
  </si>
  <si>
    <t>Cooperative Agreement for affiliated Partner with Pacific Northwest Cooperative Ecosystem Studies Unit (CESU)</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</si>
  <si>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participating partners of the Pacific Northwest Cooperative Ecosystem Studies Unit Program.</t>
  </si>
  <si>
    <t>U.S. Geological Surveyâ€™s (USGS) Powell Center is offering a funding opportunity to a CESU Partner for research on â€œAre we experiencing a riverine silicon surge? Implications for the global carbon cycle.â€ This research will quantify and synthesize the magnitude, spatial extent, seasonality, and drivers of changing river silicon (Si) stoichiometry (e.g., ratios of Si to nutrients) over time at the global scale.</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</si>
  <si>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participating partners of the Great Lakes- Northern Forest Cooperative Ecosystem Studies Unit Program.</t>
  </si>
  <si>
    <t>U.S. Geological Surveyâ€™s (USGS) Powell Center is offering a funding opportunity to a CESU Partner for research on â€œDefining subsidyâ€“stress gradients for metals and relevance for US surface waters.â€ The research project will gather data to conduct a synthesis of metal bioavailability in rivers and streams to explore spatiotemporal, taxonomic, and intra-metal variability in subsidyâ€“stress gradients. Data will serve to develop a unified model for surface waters describing the biological role of metals from subsidy to stress.</t>
  </si>
  <si>
    <t>Cooperative Agreement for affiliated Partner with Alaska Cooperative Ecosystem Studies Unit (CESU)</t>
  </si>
  <si>
    <t>Others (see text field entitled "Additional Information on Eligibility" for clarification) This financial assistance opportunity is being issued under a Cooperative Ecosystem Studies Unit (CESU) Program. CESU s are partnerships that provide research, technical assistance, and education. Eligible recipients must be a participating partner of the Alaska Cooperative Ecosystem Studies Unit (CESU) Program.</t>
  </si>
  <si>
    <t>The US Geological Survey (USGS) Alaska Science Center is offering a funding opportunity to a CESU partner for research that uses existing field data to identify the influence of climatic variation on the summer forage and insect conditions for barren-ground caribou, determine how these conditions influence caribou behavior and distributions, and project future shifts in caribou distributions given changing habitat conditions.</t>
  </si>
  <si>
    <t>The U.S. Geological Survey (USGS) Southwest Biological Science Center (SBSC) is offering a funding opportunity to a CESU Partner for research to (1) understand climatic and soil water constraints on successful restoration, (2) develop restoration effectiveness assessment workflows, and (3) identify management practices that promote climate-adapted and resilience restoration outcomes. Climate variability and aridification pose significant challenges for ecological restoration on western lands. Further insight into how those challenges can be quantified and mitigated can improve the success of landscape restoration efforts and investments.</t>
  </si>
  <si>
    <t>Stimulate Utilization of Plentiful Energy in Rocks through High-temperature Original Technologies (SUPERHOT)</t>
  </si>
  <si>
    <t>This is Modification 01 to the NOFO:
â€¢ Clarified the meaning of the Program Policy Factors in Section V.C
DE-FOA-0003556: Stimulate Utilization of Plentiful Energy in Rocks through High-temperature Original Technologies (SUPERHOT)
To obtain a copy of the Notice of Funding Opportunity (NOFO) please go to ARPA-E eXCHANGE at https://arpa-e-foa.energy.gov.  To apply to this NOFO, Applicants must register with and submit application materials through ARPA-E eXCHANGE (https://arpa-e-foa.energy.gov/Registration.aspx).  For detailed guidance on using ARPA-E eXCHANGE, please refer to the ARPA-E eXCHANGE User Guide (https://arpa-e-foa.energy.gov/Manuals.aspx).  ARPA-E will not review or consider application materials submitted through other means. For problems with ARPA-E eXCHANGE, email ExchangeHelp@hq.doe.gov (with NOFO name and number in the subject line). Questions about this NOFO? Check the Frequently Asked Questions available at http://arpa-e.energy.gov/faq.  For questions that have not already been answered, email ARPA-E-CO@hq.doe.gov.  
Agency Overview:
The Advanced Research Projects Agency â€“ Energy (ARPA-E), an organization within the Department of Energy (DOE), is chartered by Congress in the America COMPETES Act of 2007 (P.L. 110-69), as amended by the America COMPETES Reauthorization Act of 2010 (P.L. 111-358), as further amended by the Energy Act of 2020 (P.L. 116-260):
â€œ(A) to enhance the economic and energy security of the United States through the development of energy technologies thatâ€”
(i) reduce imports of energy from foreign sources;
(ii) reduce energy-related emissions, including greenhouse gases;
(iii) improve the energy efficiency of all economic sectors; 
(iv) provide transformative solutions to improve the management, clean-up, and disposal of radioactive waste and spent nuclear fuel; and
(v) improve the resilience, reliability, and security of infrastructure to produce, deliver, and store energy; and
(B) to ensure that the United States maintains a technological lead in developing and deploying advanced energy technologies.â€
ARPA-E issues this Notice of Funding Opportunity (NOFO) under its authorizing statute codified at 42 U.S.C. Â§ 16538. The NOFO and any cooperative agreements or grants made under this NOFO are subject to 2 C.F.R. Part 200 as supplemented by 2 C.F.R. Part 910.
ARPA-E funds research on, and the development of, transformative science and technology solutions to address the energy and environmental missions of the Department. The agency focuses on technologies that can be meaningfully advanced with a modest investment over a defined period of time in order to catalyze the translation from scientific discovery to early-stage technology. For the latest news and information about ARPA-E, its programs and the research projects currently supported, see: http://arpa-e.energy.gov/.
ARPA-E funds transformational research. Existing energy technologies generally progress on established â€œlearning curvesâ€ where refinements to a technology and the economies of scale that accrue as manufacturing and distribution develop drive improvements to the cost/performance metric in a gradual fashion. This continual improvement of a technology is important to its increased commercial deployment and is appropriately the focus of the private sector or the applied technology offices within DOE. In contrast, ARPA-E supports transformative research that has the potential to create fundamentally new learning curves. ARPA-E technology projects typically start with cost/performance estimates well above the level of an incumbent technology. Given the high risk inherent in these projects, many will fail to progress, but some may succeed in generating a new learning curve with a projected cost/performance metric that is significantly better than that of the incumbent technology. ARPA-E will provide support at the highest funding level only for submissions with significant technology risk, aggressive timetables, and careful management and mitigation of the associated risks.
ARPA-E funds technology with the potential to be disruptive in the marketplace. The mere creation of a new learning curve does not ensure market penetration. Rather, the ultimate value of a technology is determined by the marketplace, and impactful technologies ultimately become disruptive â€“ that is, they are widely adopted and displace existing technologies from the marketplace or create entirely new markets. ARPA-E understands that definitive proof of market disruption takes time, particularly for energy technologies. Therefore, ARPA-E funds the development of technologies that, if technically successful, have clear disruptive potential, e.g., by demonstrating capability for manufacturing at competitive cost and deployment at scale. 
 ARPA-E funds applied research and development (R&amp;D). The Office of Management and Budget defines â€œapplied researchâ€ as an â€œoriginal investigation undertaken in order to acquire new knowledgeâ€¦directed primarily towards a specific practical aim or objectiveâ€ and defines â€œexperimental developmentâ€ as â€œcreative and systematic work, drawing on knowledge gained from research and practical experience, which is directed at producing new products or processes or improving existing products or processes.â€
Applicants interested in receiving financial assistance for basic research (defined by the Office of Management and Budget as â€œexperimental or theoretical work undertaken primarily to acquire new knowledge of the underlying foundations of phenomena and observable factsâ€) should contact the DOEâ€™s Office of Science (http://science.energy.gov/). Office of Science national scientific user facilities (http://science.energy.gov/user-facilities/) are open to all researchers, including ARPA-E Applicants and awardees. These facilities provide advanced tools of modern science including accelerators, colliders, supercomputers, light sources and neutron sources, as well as facilities for studying the nanoworld, the environment, and the atmosphere. Projects focused on early-stage R&amp;D for the improvement of technology along defined roadmaps may be more appropriate for support through the DOE applied energy offices including: the Office of Energy Efficiency and Renewable Energy (http://www.eere.energy.gov/), the Office of Fossil Energy and Carbon Management (https://www.energy.gov/fecm/office-fossil-energy-and-carbon-management), the Office of Nuclear Energy (http://www.energy.gov/ne/office-nuclear-energy), and the Office of Electricity (https://www.energy.gov/oe/office-electricity).
ARPA-E encourages submissions stemming from ideas that still require proof-of-concept R&amp;D efforts as well as those for which some proof-of-concept demonstration already exists. Submissions can propose a project with the end deliverable being an extremely creative, but partial solution.
Program Overview:
The Stimulate Utilization of Plentiful Energy in Rocks through High-temperature Original Technologies (SUPERHOT) program aims to boost baseload power supply by enabling future power production from superhot geothermal resources, defined as temperatures greater than 375 Â°C and pressures greater than 22 megapascals (MPa). As the demand for power in the U.S. increases, driven by the rise in data centers and increasing electrification, superhot geothermal power can play an important role in addressing this critical need. The amount of energy in the Earthâ€™s subsurface is immense, with estimates of at least 15,000 gigawatts (GW) of producible electricity from depths of at most 10 kilometers (km) within the U.S. alone. Unfortunately, access to this resource has been constrained by the limited extent of natural hydrothermal systems, which currently only provide about 4 GW of utility-scale power.
Expansion beyond natural hydrothermal systems is now possible by recent advances in Enhanced Geothermal Systems (EGS) and in Advanced Geothermal Systems (AGS), which essentially create artificial geothermal reservoirs. The combination of highly productive superhot wells with the expanded geographic availability provided by EGS or AGS technology can accelerate the widespread development of gigawatt-scale geothermal facilities across much of the U.S., with the possibility of 10-20 GW of baseload power with a levelized cost of electricity (LCOE) less than $30 per megawatt hour (MWh) by 2040.
The goal of the SUPERHOT program is to support research and development of new technologies to enable scalable superhot geothermal by addressing the major technical challenges affecting geothermal well life and the ability to harvest subsurface energy effectively. Consequently, the focus is on the following subject areas: 1) robust well construction, and 2) transfer of heat from the surrounding geologic formation to the well.
To view the NOFO in its entirety, please visit https://arpa-e-foa.energy.gov.</t>
  </si>
  <si>
    <t>Improving Mental Health and Engagement in Care Among People with HIV   Implementation Technical Assistance Provider</t>
  </si>
  <si>
    <t>State governments These types of domestic* organizations may apply:  Public and nonprofit private entities.  State and local governments.  Academic institutions.  Local health departments.  Nonprofit hospitals and outpatient clinics.  Community health centers receiving support under Section 330 of the PHS Act.  Faith-based and community-based organizations.  Indian tribes or tribal organizations with or without federal recognition.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</si>
  <si>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This initiative has the following three objectives: â€¢ Objective 1: Support a national cohort of implementation sites to adapt and implement culturally responsive interventions to engage and retain people with co-occurring HIV and mental health conditions in HIV primary care and mental health services. â€¢ Objective 2: Evaluate the implementation of interventions using implementation science frameworks. The EP will document and share evaluation findings throughout the initiative to support successful implementation. The evaluation will assess: ? Intervention adaptations. ? Barriers and facilitators to implementation. ? Implementation strategies. ? Cost. ? Other implementation, client, and service outcomes. â€¢ Objective 3: Create and disseminate user-friendly multimedia materials to help other RWHAP organizations replicate effective interventions. This RWHAP SPNS initiative funds one ITAP and one EP. The EP is funded separately under a companion NOFO. The ITAP and EP are required to co-lead the initiative. Full information on required activities and roles and responsibilities can be found in the program objectives and requirements section. This initiative focuses on people with HIV and mental health conditions who are out of care or experiencing barriers to retention in care. You may identify additional priority populations, including those identified by the National HIV/AIDS Strategy (NHAS) [PDF], when you are selecting the implementation sites. Learnings from this initiative will help the RWHAP determine what implementation strategies work to engage people with HIV in care and improve mental health and HIV outcomes in different settings among different priority populations. The ITAP and EP will document and widely share lessons learned with the RWHAP community and beyond to help other organizations replicate these interventions to improve mental health and quality of life among people with HIV in their own settings.</t>
  </si>
  <si>
    <t>Improving Mental Health and Engagement in Care Among People with HIV   Evaluation Provider</t>
  </si>
  <si>
    <t>Others (see text field entitled "Additional Information on Eligibility" for clarification) These types of domestic* organizations may apply:  Public and nonprofit private entities.  State and local governments.  Academic institutions.  Local health departments.  Nonprofit hospitals and outpatient clinics.  Community health centers receiving support under Section 330 of the PHS Act.  Faith-based and community-based organizations.  Indian Tribes or Tribal organizations with or without federal recognition.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</si>
  <si>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This initiative has the following three objectives:
 â€¢
 Objective 1: Support a national cohort of implementation sites to adapt and implement culturally responsive interventions to engage and retain people with co-occurring HIV and mental health conditions in HIV primary care and mental health services.
 â€¢
 Objective 2: Evaluate the implementation of interventions using implementation science frameworks. The EP will document and share evaluation findings throughout the initiative to support successful implementation. The evaluation will assess:
 ?
 Intervention adaptations.
 ?
 Barriers and facilitators to implementation.
 ?
 Implementation strategies.
 ?
 Cost.
 ?
 Other implementation, client, and service outcomes.
 â€¢
 Objective 3: Create and disseminate user-friendly multimedia materials to support other RWHAP organizations in replicating effective interventions.
 This RWHAP SPNS initiative funds one ITAP and one EP. The ITAP is funded separately under a companion NOFO. The ITAP and EP are required to co-lead the initiative. Full information on objectives and requirements can be found in the program objectives and requirements section.
 This initiative focuses on people with HIV and mental health conditions who are out of care or experiencing barriers to retention in care. You and the ITAP may identify additional priority populations, including those identified by the National HIV/AIDS Strategy (NHAS) [PDF], when you are selecting the implementation sites.
 Learnings from this initiative will help the RWHAP determine what intervention strategies work to engage people with HIV in care and improve mental health and HIV outcomes in different settings among different priority populations. The EP and ITAP will document and widely share lessons learned with the RWHAP community and beyond to help other organizations replicate these interventions to improve mental health and quality of life among people with HIV in their own settings.</t>
  </si>
  <si>
    <t>Addressing Stigma to End the HIV Epidemic in the U.S.</t>
  </si>
  <si>
    <t>Special district governments These types of domestic* organizations may apply:  Public institutions of higher education  Private institutions of higher education  Non-profits with or without a 501(c)(3) IRS status  State, county, city, township, and special district governments, including the District of Columbia, domestic territories, and freely associated states  Independent school districts  Public housing authorities/Indian housing authorities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</si>
  <si>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Addressing Stigma to End the HIV Epidemic in the U.S. program will leverage expertise and resources of HRSA, NIH, and CDC to accomplish the goal of increasing access to stigma-free, high-quality care, treatment, and prevention services for people who have yet to be successfully maintained in HIV care and those who experience higher rates of HIV in the U.S. HRSA will fund one recipient to serve as the Implementation, Capacity, and Evaluation Provider who will deliver training and work with demonstration sites (subrecipients) to use an implementation science approach to adapt, implement, evaluate, and disseminate anti-stigma interventions that address social, structural, and organizational causes of stigma and discrimination.
 The objectives of this program are to:
 â€¢
 Strengthen and promote a culture of anti-stigma across HHS-funded organizations that provide HIV care, treatment, and prevention services.
 â€¢
 Increase the availability and dissemination of tools that HIV care, treatment, and prevention organizations (including those that provide RWHAP and Ending the HIV Epidemic in the U.S. (EHE) initiative recipients and subrecipients) can adopt and adapt to address stigma within their organizations.
 â€¢
 Increase utilization of evidence-informed anti-stigma interventions within HIV care, treatment, and prevention organizations.
 â€¢
 Reduce stigmatizing practices and behaviors among providers and staff at HIV care, treatment, and prevention organizations to improve outcomes.
 Refer also to the Program requirements and expectations.</t>
  </si>
  <si>
    <t>Ryan White HIV/AIDS Program Part C Capacity Development Program</t>
  </si>
  <si>
    <t>Native American tribal governments (Federally recognized) These types of domestic* organizations may apply:  Public or non-profit private entity  Community-based organization  Non-profits with or without a 501(c)(3) IRS status  State, county, city, township, and special district governments, including the District of Columbia, domestic territories, and freely associated states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 Foreign entities are not eligible for this award. ( 2652 of the PHS Act).</t>
  </si>
  <si>
    <t>The purpose of this program is to strengthen organizational capacity to respond to the changing health care landscape and increase access to high-quality HIV primary health care services for low-income and underserved people with HIV.</t>
  </si>
  <si>
    <t>Bipartisan Infrastructure Law (BIL) Accelerating CO2 Conversion Technology Development and Deployment   Biological, Catalytic, and Mineralization Pathways</t>
  </si>
  <si>
    <t>Unrestricted (i.e., open to any type of entity above), subject to any clarification in text field entitled "Additional Information on Eligibility" Standard eligibility language applies.</t>
  </si>
  <si>
    <t>The Notice of Funding Opportunity competitively solicits cost-shared research and development proposals to advance the pilot scale testing of carbon conversion technologies with high technology readiness level capable of achieving significant carbon mitigation via biological, catalytic, or mineralization pathways. This Notice of Funding Opportunity also supports testing of carbon conversion product performance and characterization needed for market or consumer adoption. This may include lifecycle analysis development for novel carbon conversion technologies and for pilot facilities using these technologies.</t>
  </si>
  <si>
    <t>SMART FY25 Support for Adam Walsh Act Implementation Grant Program</t>
  </si>
  <si>
    <t>USDOJ-OJP-SMART</t>
  </si>
  <si>
    <t>SMART</t>
  </si>
  <si>
    <t>Native American tribal governments (Federally recognized) 1) State Government Entities: For the purposes of this NOFO,   means any state of the United States, the District of Columbia, the Commonwealth of Puerto Rico, the U.S. Virgin Islands, Guam, American Samoa, and the Commonwealth of the Northern Mariana Islands; 2) Native American Tribal Government Entities (Federally Recognized): For the purposes of this NOFO, this means those entities that are eligible per 34 U.S.C.   20929 to carry out the functions of SORNA and have elected to do so.</t>
  </si>
  <si>
    <t>General Purpose of the Funding:
The Adam Walsh Act (AWA) Implementation Grant Program assists jurisdictions with developing and enhancing programs designed to implement SORNA. SORNA was enacted to provide a set of comprehensive standards for sex offender registration and notification in the United States. â€œJurisdictionâ€ is defined in SORNA as any state of the United States, the District of Columbia, the principal U.S. territories, and federally recognized Indian tribes â€” to the extent provided by 34 U.S.C. Â§ 20911(10) â€” that have elected to implement SORNA.
SORNA requires all states, the District of Columbia, the principal U.S. territories, and participating federally recognized Indian tribes to maintain a sex offender registry and sex offenders to register and maintain a current registration in each jurisdiction where the individual lives, works, or goes to school. SORNA also sets forth requirements regarding what jurisdictions must include in their sex offender registries, what information sex offenders and sex offender registries must provide, requires jurisdictions to participate in the Dru Sjodin National Sex Offender Public Website (NSOPW.gov) and exchange interjurisdictional information, and offenders must provide advance notice when traveling internationally. For more information about SORNAâ€™s requirements, applicants should review the National Guidelines for Sex Offender Registration and Notification, the Supplemental Guidelines for Sex Offender Registration and Notification, the Supplemental Guidelines for Juvenile Registration Under the Sex Offender Registration and Notification Act, and Attorney General Rules. These, and other guidance documents, are available on the SMART Office website (SMART.gov).  
Applicants should refer to the Application Contents, Submission Requirements, and Deadlines: Budget Detail Form for information on allowable and unallowable costs that may inform the development of their project design.</t>
  </si>
  <si>
    <t>Enhancing State No Wrong Door Systems for Efficient Access to Long-Term Services and Supports</t>
  </si>
  <si>
    <t>Unrestricted (i.e., open to any type of entity above), subject to any clarification in text field entitled "Additional Information on Eligibility" Foreign entities are not eligible to compete for, or receive, awards made under this announcement.</t>
  </si>
  <si>
    <t>The purpose of this funding is to provide infrastructure grants to support approximately 10 states for two years to develop or enhance their state No Wront Door (NWD) System operations through a multi-agency governing body that leads the design, implementation, and ongoing administration of related policy, stakeholder inclusion, sustainability, continuous quality improvement, technology infrastructure, and resource allocation. This includes exploring opportunities to collaborate with state leaders across Medicaid, nutrition, housing, transportation, and employment to proactively and strategically align state resources to address the need for more streamlined, coordinated systems that make it easier for people to learn about and access long-term services and supports (LTSS). NWD governance and administration involves collaborative efforts among multiple state agencies (e.g., state Medicaid; State Unit on Aging; state agencies that serve or represent interest of individuals with physical, intellectual and developmental disabilities; and state authorities administering mental and behavioral health services).</t>
  </si>
  <si>
    <t>Science and Technology Projects Related to Coal Mining and Reclamation; Applied Science Projects</t>
  </si>
  <si>
    <t>DOI-OSM</t>
  </si>
  <si>
    <t>Office of Surface Mining</t>
  </si>
  <si>
    <t>Native American tribal governments (Federally recognized) DOI s Minority Serving Institutions are encouraged to apply for Applied Science project funding. Applied Science projects contribute to the goal of improving the quality of science and technology instruction in institutions that serve high concentrations of minority students who historically have been underrepresented in higher education.Documentation must be submitted to support an eligibility determination (e.g., proof of non-profit IRS 501(c) (3) status as determined by the Internal Revenue Service or an authorizing tribal resolution).</t>
  </si>
  <si>
    <t>The OSMRE Applied Science Program funds the development of new reclamation science and technology to address environmental issues related to the mining of coal and reclamation of the land after mining. The program selects and funds applied science proposals that improve public and environmental health protection. The science and technology advanced by these projects serves the public through activities that:Protect identified endangered speciesImprove reforestation and re-vegetationProtect prime farmlandImprove technologies to mitigate acid mine drainageImprove methods for locating underground minesEnhance the protection of the public and environment associated with surface coal mining</t>
  </si>
  <si>
    <t>OSERS: OSEP: Technical Assistance and Dissemination to Improve Services and Results for Children with Disabilities and Demonstration and Training Programs--National Technical Assistance Center on Transition for Students and Youth with Disabilities 84.326E</t>
  </si>
  <si>
    <t>Nonprofits having a 501(c)(3) status with the IRS, other than institutions of higher education 1.  Eligible Applicants:  SEAs; State lead agencies under Part C of the IDEA; LEAs, including public charter schools that are considered LEAs under State law; IHEs; other public agencies; private nonprofit organizations; freely associated States and outlying areas; Indian Tribes or Tribal organizations; and for-profit organizations.</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</si>
  <si>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23, 2024. 
Purpose of Program: The purpose of the Technical Assistance and Dissemination to Improve Services and Results for Children with Disabilities program is to promote academic achievement and to improve results for children with disabilities by providing TA, supporting model demonstration projects, disseminating useful information, and implementing activities that are supported by scientifically based research. The purpose of the Demonstration and Training program is to provide competitive grants, including cooperative agreements, to, or enter into contracts with, eligible entities to expand and improve the provision of vocational rehabilitation (VR) and other services authorized under the Rehabilitation Act of 1973 (Rehabilitation Act), or to further the purposes and policies in sections 2(b) and (c) of the Rehabilitation Act by supporting activities that increase the provision, extent, availability, scope, and quality of rehabilitation services under the Rehabilitation Act, including related research and evaluation activities. 
Assistance Listing Number (ALN) 84.326E. 
</t>
  </si>
  <si>
    <t>Fiscal Year (FY) 2025 Mississippi Conservation Delivery for Outreach, Education, and Technical Assistance</t>
  </si>
  <si>
    <t>USDA-NRCS</t>
  </si>
  <si>
    <t>Natural Resources Conservation Service</t>
  </si>
  <si>
    <t>The Natural Resources Conservation Service (NRCS), an agency under the United States Department of Agriculture (USDA) is seeking support from natural resource conservation partners to work together to help enhance conservation delivery in the State of Mississippi. The overall intent of this announcement is to solicit partnerships to help enhance the implementation of key conservation objectives and priorities outlined further in this document.Proposals will be accepted from eligible entities delivering conservation programs and services in Mississippi for competitive consideration of awards for projects between one (1) and five (5) years in duration. NRCS anticipates the amount of funding available for this announcement will be approximately $8,000,000 which may be awarded to multiple recipients. Proposed projects must be performed in the State of Mississippi.This notice identifies the objectives, eligibility criteria, and application instructions for projects. Proposals will be screened for completeness and compliance with the provisions of this notice. Incomplete and/or noncompliant applications may be eliminated from competition and notification of elimination will be sent to the applicant. The Mississippi State Conservationist reserves the right not to fund any or all applications. NRCS will accept applications under this notice for single or multiyear applications submitted by eligible entities.</t>
  </si>
  <si>
    <t>Homeless Veterans  Reintegration Program (HVRP), Incarcerated Veterans  Transition Program (IVTP), and the Homeless Women Veterans' and Homeless Veterans' with Children Reintegration Grant Program (HWVHVWC) (referred to collectively as HVRP)</t>
  </si>
  <si>
    <t>DOL-VETS</t>
  </si>
  <si>
    <t>Veterans Employment and Training Service</t>
  </si>
  <si>
    <t>Nonprofits that do not have a 501(c)(3) status with the IRS, other than institutions of higher education U.S Territories or Possessions Native American Tribally Designated Organizations State and Local Workforce Development Boards (SWDBs/LWDBs) established under the Workforce Innovation and Opportunity Act (WIOA) Faith-based Organizations Other State and Local Government Agencies</t>
  </si>
  <si>
    <t>*NOTE: The U.S. Department of Labor is reviewing all Funding Opportunity Announcements for consistency with the Executive Orders titled, â€œEnding Radical and Wasteful Government DEI Programs and Preferencing,â€ issued on January 20, 2025, and â€œEnding Illegal Discrimination and Restoring Merit-Based Opportunity,â€ issued on January 21, 2025. The Department will take necessary action with the Funding Opportunity Announcement and issue additional guidance including adjusting the close date if appropriate. The intent of HVRP, an employment-focused competitive grant program, is to enable Americaâ€™s veterans to reach their full employment potential and obtain high-quality career outcomes for veterans experiencing and at risk of homelessness. The Department encourages applicants to propose strategies to achieve economic prosperity, offering appropriate participant support to marginalized groups and making services accessible for underserved communities.To meet the fluctuations in the population and changing needs of veterans experiencing and at risk of homelessness, DOL/VETS requires grant recipients to provide an array of client-centered services utilizing a case management approach that directly assists veterans experiencing and at risk of homelessness and provides critical linkages to a variety of support services available in their local communities. The HVRP approach is focused on obtaining high-quality career outcomes for the veteran. Veterans are to receive the job training and employment services required to re-enter and be successful in the labor force. To realize long-term benefits for veterans experiencing and at risk of homelessness, Grant recipients must address the complex employment-related requirements and support services necessary to meet the needs of this population. This can be achieved either through direct services or through a robust referral system with established tools, resources, and partnerships to identify, recruit, prepare, and support veterans experiencing and at risk of homelessness for employment success. Through one of these methods, grant recipients will provide job placement, job training, job development, career counseling, and employment preparation services, among other services, to assist with obtaining meaningful, family-sustaining employment.</t>
  </si>
  <si>
    <t>Sustainable Skills for Sustainable Communities   An Education Skills Program in support of the sustainable economic diversification of vulnerable communities in Mpumalanga, South Africa.</t>
  </si>
  <si>
    <t>USAID-SAF</t>
  </si>
  <si>
    <t>South Africa USAID-Pretoria</t>
  </si>
  <si>
    <t xml:space="preserve">The activity seeks to support interventions aligned to one or more of the following objectives that meet the high-level key result:Objective 1: Accredited or industry endorsed skills programs with a green skills focus are developed through strong private sector engagement in Mpumalangaâ€™s coal belt communities, with evidence of strong long-lasting institutional support being built. (Note: For interventions where accreditation is being sought, applicants must be clear about how the accreditation process will work, how far along it is or will be based on realistic timelines. For industry certified programs, applicants must demonstrate previous industry acceptance and/or transferability of the certificate.)Objective 2: Students and graduates, in their diverse needs and starting points, are provided accredited or industry endorsed technical knowledge and soft skills that are transferable to the workplace and have gained practical work-based learning opportunities required to complete their qualifications because of strong industry partnerships.Objective 3: Capacity of youth and graduates/course completers to meaningfully participate in the formal economy is increased by unlocking earning opportunities through local/ community/ business partnerships in identified green sector(s) while also ensuring inclusive and just growth for the historically marginalized in that field. </t>
  </si>
  <si>
    <t>Public Diplomacy Mission Mexico FY25 Annual Program Statement</t>
  </si>
  <si>
    <t>DOS-MEX</t>
  </si>
  <si>
    <t>U.S. Mission to Mexico</t>
  </si>
  <si>
    <t>Others (see text field entitled "Additional Information on Eligibility" for clarification) Individuals. Registered non-for-profit organizations, including thinktanks, academic institutions, and civil society/non-governmental organizations with programming experience. Non-profit or governmental educational institutions; or Governmental institutions. U.S. organizations applying for funding must partner with a Mexican organization. For-profit or commercial entities are not eligible to apply._x000D_
_x000D_
Certification Regarding Compliance with applicable Federal anti-discrimination laws_x000D_
_x000D_
None of the funds awarded under this agreement may be used for any initiatives or programs, or any activities that do not comply with Executive Order 14173 titled Ending Illegal Discrimination and Restoring Merit-Based Opportunity._x000D_
_x000D_
The Recipient shall submit, prior to award or upon request from Grants Officer, a certification that confirms:_x000D_
_x000D_
1.Its compliance in all respects with all applicable Federal anti-discrimination laws is material to the government s payment decisions for purposes of section 3729(b)(4)of title 31, United States Code and;_x000D_
_x000D_
2.It does not operate any programs promoting Diversity, Equity, and Inclusion that violate any applicable Federal anti-discrimination laws.</t>
  </si>
  <si>
    <t>U.S. Mission Mexicoâ€™s PDS invites proposals for programs that strengthen cultural ties and mutual understanding between the U.S. and Mexico through cultural, economic, educational, professional, and exchange programming that highlights shared values and promotes bilateral cooperation. All programs must include a U.S. cultural element, or connection with U.S. expert/s, organization/s, or institution/s in a specific field that will promote increased understanding of U.S. policies and perspectives. Programs that include multiple states and/or promote increased collaboration and networking between U.S. government program alumni are encouraged.</t>
  </si>
  <si>
    <t>U.S. Army STEM Education Consortium (ASEC) Cooperative Agreement</t>
  </si>
  <si>
    <t>DOD-AMC-ACCAPGE</t>
  </si>
  <si>
    <t>ACC-APG-Edgewood</t>
  </si>
  <si>
    <t>Others (see text field entitled "Additional Information on Eligibility" for clarification) Non-federal entities as defined in 2 CFR   200.1. See FOA document for details.</t>
  </si>
  <si>
    <t>The U.S. Department of the Army Science, Technology, Engineering, and Mathematics (Army STEM), under its Army Educational Outreach Program (AEOP) and 10 U.S. Code 2192, seeks to enter into a cooperative agreement with a Consortium of like-minded organizations (herein â€œConsortium Membersâ€) to provide a continuum of meaningful STEM learning experiences for students and educators through effective STEM education and outreach programs. The Consortium will be named the Army STEM Education Consortium (ASEC). The Department intends to award ONE (1) cooperative agreement (COA) award of up to $277M over a period of performance of (up to) ten-years. This cooperative agreement will consist of ONE (1) two-year base period of up to $52M, followed by up to FOUR (4) two-year option periods of $53M to $60M each, totaling up to ten years and up to $277M total. Optional renewal periods are subject to availability of funds based on annual budget appropriations.</t>
  </si>
  <si>
    <t>Behavioral Health Workforce Education and Training Program for Paraprofessionals</t>
  </si>
  <si>
    <t>Special district governments These types of domestic organizations may apply, if otherwise eligible. Domestic means located in the 50 states, the District of Columbia, the Commonwealth of Puerto Rico, the Northern Mariana Islands, American Samoa, Guam, the U.S. Virgin Islands, the Federated States of Micronesia, the Republic of the Marshall Islands, and the Republic of Palau:  Public institutions of higher education  Private institutions of higher education ? These may include universities, community colleges and technical schools, which must be accredited by a nationally recognized accrediting agency, as specified by the U.S. Department of Education.  Nonprofits with or without a 501(c)(3) IRS status  Faith-based and community-based organizations  Hospitals  HRSA-funded health centers and Federally Qualified Health Centers (FQHCs)  Rural health clinics  Other community-based clinical settings  State, county, city, township, and special district governments  Native American tribal governments  Native American tribal organizations Behavioral Health Workforce Education and Training for Paraprofessionals award recipients with funding that ends on August 31, 2025 can apply as a Competing Continuation applicant, so long as there is not a change in scope. Previous BHWET for Paraprofessionals recipients whose funding ended before September 1, 2021 should apply as a New applicant. Individuals are not eligible applicants under this NOFO.</t>
  </si>
  <si>
    <t>The purpose of the BHWET Program for Paraprofessionals is to develop and expand community-based experiential training such as field placements and internships to increase the skills, knowledge and capacity of students preparing to become mental health workers, peer support specialists, and other behavioral health paraprofessionals.
 The program has a special focus on developing knowledge and understanding of the needs of children, adolescents, and transitional-age youth who have experienced trauma and are at risk for behavioral health disorders including anxiety, depression, and substance use disorder. The program also emphasizes developmental opportunities and educational support in interprofessional collaboration by using team-based care in integrated behavioral health and primary care settings to improve the distribution of a well-trained behavioral health workforce. The program also aims to recruit a workforce that is interested in serving high need and high demand areas.
 For the purpose of this NOFO, all training will be separated into two levels:
 â€¢
 Level 1: Pre-service: Includes didactic and experiential field training.
 â€¢
 Level 2: In-service (optional): Training at a registered Department of Labor apprenticeship site.
 All paraprofessional training that does not fall under the definition of a registered apprenticeship will be defined as Level 1: Pre-service training as further explained in Program Requirements and Expectations.
 Registered apprenticeships (Level 2) are not a program requirement. You are not required to implement Level 2 in your proposal to be considered eligible for this program. If you are implementing Level 2 in your proposed training project, you can receive an additional 5 points in Criteria 2: Response/Approach.</t>
  </si>
  <si>
    <t>Office of Special Education and Rehabilitative Services (OSERS): Rehabilitation Services Administration (RSA): Independent Living Services for Older Individuals Who Are Blind (OIB) Program: Training and Technical Assistance ALN Number 84.177Z</t>
  </si>
  <si>
    <t>County governments 1.	Eligible Applicants:  State and public or non-profit agencies and organizations and institutions of higher education that have the capacity to provide training and technical assistance in the provision of independent living services for older individuals who are blind and have demonstrated through their application a capacity to provide the level of training and technical assistance as indicated in the priority section of this notice.Note:  If you are a nonprofit organization, under 34 CFR 75.51, you may demonstrate your nonprofit status by providing: (1) proof that the Internal Revenue Service currently recognizes the applicant as an organization to which contributions are tax deductible under section 501(c)(3) of the Internal Revenue Code; (2) a statement from a State taxing body or the State attorney general certifying that the organization is a nonprofit organization operating within the State and that no part of its net earnings may lawfully benefit any private shareholder or individual; (3) a certified copy of the applicant's certificate of incorporation or similar document if it clearly establishes the nonprofit status of the applicant; or (4) any item described above if that item applies to a State or national parent organization, together with a statement by the State or parent organization that the applicant is a local nonprofit affiliate.</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</si>
  <si>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Common Instructions for Applicants to Department of Education Discretionary Grant Programs, published in the Federal Register on December 23, 2024 (89 FR 104528) and available at https://www.federalregister.gov/documents/2024/12/23/2024-30488/common-instructions-for-applicants-to-department-of-education-discretionary-grant-programs
Purpose of Program: The purpose of this program is to provide training and technical assistance to designated State agencies (DSAs)--the State agencies that provide vocational rehabilitation services to individuals who are blind--that receive grant funding under the OIB program and to other service providers that receive OIB program funding from DSAs to provide services to consumers. The training and technical assistance are designed to improve the operation and performance of programs and services for older individuals who are blind resulting in their enhanced independence and self-sufficiency. 
Assistance Listing Number: </t>
  </si>
  <si>
    <t>Ryan White HIV/AIDS Program Part F Dental Reimbursement Program (DRP)</t>
  </si>
  <si>
    <t>Private institutions of higher education Applicants are limited to accredited dental schools and other accredited dental education programs such as dental hygiene programs sponsored by a school of dentistry, a hospital, or a public or private institution that offers postdoctoral training in the specialties of advanced education in general dentistry, or a dental general practice residency.</t>
  </si>
  <si>
    <t>Our purposes are to:
 â€¢
 Improve access to oral health care services for low-income people with HIV.
 â€¢
 Support related education and training for the delivery of dental care to people with HIV.
 This program will reimburse certain costs incurred by eligible entities that have provided uncompensated or partially uncompensated oral health care to people with HIV from July 1, 2023, through June 30, 2024.</t>
  </si>
  <si>
    <t>Ryan White HIV/AIDS Program (RWHAP) Web-Based Platform for HIV Tools and Resources</t>
  </si>
  <si>
    <t>County governments These types of domestic* organizations may apply:  Public institutions of higher education.  Private institutions of higher education.  Small businesses.  State governments, including the District of Columbia, domestic territories, and freely associated states.  County governments.  City or township governments.  Special district governments.  Independent school districts.  Native American tribal governments.  Native American tribal organizations. *Domestic means the fifty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</si>
  <si>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This project will fund the creation and maintenance of a user-friendly web-based platform. The platform will serve as a comprehensive and centralized repository for evidence-based interventions, best practices, tools, training and technical assistance (T/TA) products, and resources developed by Ryan White HIV/AIDS Program (RWHAP) funded recipients, stakeholders, federal partners, and HRSAâ€™s HIV/AIDS Bureau (HAB). The site will be specifically aimed at enhancing HIV care and treatment outcomes. The audience for the website will include health care team members, recipients, subrecipients, key stakeholders, federal staff, and the general public. The content for the site will be curated by the recipient to include a variety of HIV tools, resources, and information gathered from a variety of sources such as HAB recipients, TA providers, government websites, and evidenced based research.</t>
  </si>
  <si>
    <t>National Center on Child Maltreatment Fatality Data Practices and Reporting</t>
  </si>
  <si>
    <t>HHS-ACF-CB</t>
  </si>
  <si>
    <t>Administration for Children and Families - ACYF/CB</t>
  </si>
  <si>
    <t>For profit organizations other than small businesses Per the statute,  The Secretary may make grants to, and enter into contracts with, entities that are states, Indian tribes, or tribal organizations, or public agencies or private agencies or organizations (or combination of such entities) ...  (42 U.S.C. 5106 (a)).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</si>
  <si>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The Administration for Children and Families (ACF) Childrenâ€™s Bureau (CB) recognizes that every child who dies as a result of child abuse or neglect represents an irreversible and deep trauma to families and communities. Preventing child fatalities is an urgent public health concern that demands meaningful action. Understanding the circumstances surrounding the tragedy of a child fatality through improved data collection, reporting, and analysis of all child fatalities is essential for prevention. The purpose of this Notice of Funding Opportunity (NOFO) is to establish, by cooperative agreement, the National Center on Child Maltreatment Fatality Data Practices (the National Center) to improve data collection and reporting about child maltreatment fatalities. Effective cross-agency coordination and understanding of child maltreatment fatality data can help states collect comprehensive data. States, jurisdictions, and their partners, including tribes, can use that information to develop cross-agency prevention, intervention, and system reform efforts.The National Center will make and carry out a plan to provide culturally responsive T/TA to states, jurisdictions, and their partners, including tribes. This will enable these groups to better execute the goals of this funding and measure the effectiveness of implemented efforts. The National Center will focus on the following objectives: Building knowledge and capacity.Increasing opportunities for cross-agency cooperation and coordination.Establishing a national resource for information-sharing, learning, and dissemination.Supporting data practice and reporting strategies.Evaluating training and technical assistance activities.</t>
  </si>
  <si>
    <t>Rehabilitation Engineering Research Centers (RERC) Program: RERC on Rehabilitation Technologies for Children with Orthopedic Disabilities</t>
  </si>
  <si>
    <t>Native American tribal governments (Federally recognized)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</si>
  <si>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RERC program is to improve the effectiveness of services authorized under the Rehabilitation Act by conducting advanced engineering research on and development of innovative technologies that are designed to solve particular rehabilitation problems or to remove environmental barriers. RERCs also demonstrate and evaluate such technologies, facilitate service delivery system changes, stimulate the production and distribution of new technologies and equipment in the private sector, and provide training opportunities. Under this particular RERC priority, the grantee must conduct research and development activities toward new rehabilitation technologies and products that promote positive health and function and community living outcomes among children with orthopedic disabilities. This grant will have a 60-month project period, with five 12-month budget periods.</t>
  </si>
  <si>
    <t>Disability and Rehabilitation Research Projects (DRRP) Program: Employment (Research)</t>
  </si>
  <si>
    <t>Special district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</si>
  <si>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NIDILRR's Disability and Rehabilitation Research Projects (DRRP) is to conduct research or development projects that maximize the full inclusion and integration into society, employment, independent living, family support, and economic and social self-sufficiency of people with disabilities, especially individuals with the greatest support needs, to improve the effectiveness of services authorized under the Rehabilitation Act of 1973, as amended. Under this particular DRRP priority, applicants must propose a research project that is aimed at improving employment outcomes among people with disabilities. In carrying out a research project under this program, a grantee must identify one or more hypotheses or research questions and, based on the hypotheses or research questions identified, perform an intensive, systematic study directed toward producing (1) new or full scientific knowledge or (2) understanding of the subject or problem studied. NIDILRR's three field-initiated DRRP awards in the employment domain will be (1) research projects, (2) development projects, or (3) a combination of research and development projects, depending on the ranking of applications provided by the peer review panel. The grants will have a 60-month project period, with five 12-month budget periods.</t>
  </si>
  <si>
    <t>Disability and Rehabilitation Research Projects (DRRP) Program: Employment (Development)</t>
  </si>
  <si>
    <t>Nonprofits having a 501(c)(3) status with the IRS, other than institutions of higher education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</si>
  <si>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NIDILRR's Disability and Rehabilitation Research Projects (DRRP) is to conduct research or development projects that maximize the full inclusion and integration into society, employment, independent living, family support, and economic and social self-sufficiency of people with disabilities, especially individuals with the greatest support needs, to improve the effectiveness of services authorized under the Rehabilitation Act of 1973, as amended.Under this particular DRRP priority, applicants must propose a development project that is aimed at improving employment outcomes of people with disabilities. In carrying out a development project under this program, a grantee must use knowledge and understanding gained from research to create materials, devices, systems, methods, measures, techniques, tools, prototypes, processes, or intervention protocols that are beneficial to the target population. NIDILRR's three field-initiated DRRP awards in the employment domain will be (1) research projects, (2) development projects, or (3) a combination of research and development projects, depending on the ranking of applications provided by the peer review panel. The grants will have a 60-month project period, with five 12-month budget periods.</t>
  </si>
  <si>
    <t>Environmental Regulatory Enhancement</t>
  </si>
  <si>
    <t>HHS-ACF-ANA</t>
  </si>
  <si>
    <t>Administration for Children and Families - ANA</t>
  </si>
  <si>
    <t>Nonprofits that do not have a 501(c)(3) status with the IRS, other than institutions of higher education Pursuant to 42 U.S.C.  2991b and 45 CFR  1336.33, eligible applicants under this announcement are:Federally-recognized Indian tribes, as recognized by the Bureau of Indian Affairs (BIA); Incorporated non-federally recognized tribes; Incorporated state-recognized Indian tribes; Non-profit Alaska Native community entities or tribal governing bodies (Indian Reorganization Act (IRA) or traditional councils) as recognized by the BIA; Non-profit Alaska Native Regional Associations and/or Corporations with village specific projects; Other tribal or village organizations or consortia of Indian tribes or Tribal governing bodies (IRA or traditional councils) as recognized by the BIA.Eligible applicants include Alaska Native villages as defined in the Alaska Native Claims Settlement Act and/or non-profit village consortia; non-profit Alaska Native Regional Corporations/Associations with village-specific projects; other tribal or village organizations or consortia of Indian tribes; and tribal governing bodies (Indian Reorganization Act or traditional councils) as recognized by the Bureau of Indian Affairs.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</si>
  <si>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The Administration for Children and Families, Administration for Native Americans announces the availability of Fiscal Year 2025 funds for community-based projects for the Environmental Regulatory Enhancement (ERE) program. The ERE program provides funding for the costs of planning, developing, and implementing programs designed to improve the capability of tribal governing bodies to regulate environmental quality pursuant to federal and tribal environmental laws.</t>
  </si>
  <si>
    <t>Statewide Family Network</t>
  </si>
  <si>
    <t>Others (see text field entitled "Additional Information on Eligibility" for clarification) Domestic public and private nonprofit entities.</t>
  </si>
  <si>
    <t>The purpose of this program is to provide resources to enhance the capacity of statewide mental health family-controlled organizations to support, train, and mentor family members/primary caregivers who are raising children, youth, and young adults with serious emotional disturbance (SED) and/or co-occurring disorders (COD). SAMHSA aims to transform mental health and related systems in states by empowering family-controlled organizations to participate meaningfully in SED/COD policy development and service delivery.</t>
  </si>
  <si>
    <t>Circles of Care for American Indian/Alaska Natives (AI/AN)</t>
  </si>
  <si>
    <t>Others (see text field entitled "Additional Information on Eligibility" for clarification) Federally recognized American Indian/Alaska Native (AI/AN) tribes and tribal organizations; Urban Indian Organizations; or consortia of tribes or tribal organizations; and Tribal colleges and universities (as identified by the American Indian Education Consortium).</t>
  </si>
  <si>
    <t>The purpose of this program is to provide American Indian and Alaska Native (AI/AN) organizations with the resources to plan and design a family-driven, community-based, and culturally and linguistically competent system of care. Grant recipients are expected to organize a spectrum of community-based services and supports for AI/AN children who are experiencing or are at risk of mental health challenges. This system of care must cultivate meaningful community partnerships and address cultural and linguistic needs to help children better thrive at home, in school, and in life.</t>
  </si>
  <si>
    <t>Standards Coordination Office Curricula Development Cooperative Agreement Program</t>
  </si>
  <si>
    <t>DOC-NIST</t>
  </si>
  <si>
    <t>National Institute of Standards and Technology</t>
  </si>
  <si>
    <t>Others (see text field entitled "Additional Information on Eligibility" for clarification) Accredited institutions of higher education (IHEs), as defined at 20 U.S.C. 1001, located in the United States or its territories. See section III.1.</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</si>
  <si>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</si>
  <si>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Native American Language Preservation and Maintenance-Esther Martinez Immersion</t>
  </si>
  <si>
    <t>Nonprofits that do not have a 501(c)(3) status with the IRS, other than institutions of higher education Pursuant to 42 U.S.C.  2991b and 45 CFR  1336.33, eligible applicants under this funding opportunity are:Federally recognized Indian tribes, as recognized by the Bureau of Indian Affairs (BIA); Incorporated non-federally recognized tribes; Incorporated state-recognized Indian tribes; Consortia of Indian tribes; Incorporated non-profit multi-purpose community-based Indian organizations (Including Urban Indian Organizations as defined by 25 U.S.C.   1603(29)); Urban Indian Centers; Native Community Development Financial Institutions (Native CDFIs); Alaska Native villages as defined in the Alaska Native Claims Settlement Act (ANCSA) and/or non-profit village consortia; Non-profit Native organizations in Alaska with village-specific projects; Incorporated non-profit Alaska Native multipurpose, community-based organizations; Non-profit Alaska Native Regional Corporations/Associations in Alaska with village- specific projects; Non-profit Alaska Native community entities or tribal governing bodies (Indian Reorganization Act or Traditional Councils) as recognized by the BIA; Public and non-profit private agencies serving Native Hawaiians; National or regional incorporated non-profit Native American organizations with Native American community-specific objectives; Public and non-profit private agencies serving Native peoples from Guam, American Samoa, or the Commonwealth of the Northern Mariana Islands; Tribal Colleges and Universities, and colleges and universities located in Hawaii, Guam, and American Samoa or the Commonwealth of the Northern Mariana Islands that serve Native American Pacfic Islanders.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</si>
  <si>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The Administration for Children and Families, Administration for Native Americans announces that it will be soliciting applications for the Native American Language Preservation and Maintenance - Esther Martinez Immersion program (EMI). The program provides funding for community-based projects that ensure continuing vitality of Native languages through immersion-based instruction. Programs funded under the EMI notice of funding opportunity must meet the requirements for either a Native American Language Nest, or a Native American Survival School. As defined by Esther Martinez Native American Languages Preservation Act (42 U.S.C. Â§ 2991b-3(b)(7)), Language Nests are "site-based educational programs that- (i) provide instruction and child care through the use of a Native American language for at least 5 children under the age of 7 for an average of at least 500 hours per year per student," and Native American Survival Schools are "site-based educational programs for school-age students that- (i) provide an average of at least 500 hours of instruction through the use of 1 or more Native American languages for at least 10 students for whom a Native American language survival school is their principal place of instruction."</t>
  </si>
  <si>
    <t>Native American Language Preservation and Maintenance</t>
  </si>
  <si>
    <t>Others (see text field entitled "Additional Information on Eligibility" for clarification) Pursuant to 42 U.S.C.  2991b-3 and 45 CFR  1336.33, eligible applicants under this funding opportunity are: Federally recognized Indian tribes, as recognized by the Bureau of Indian Affairs (BIA); Incorporated non-federally recognized tribes; Incorporated state-recognized Indian tribes; Consortia of Indian tribes; Incorporated non-profit multi-purpose community-based Indian organizations (Including Urban Indian Organizations as defined by 25 U.S.C.   1603(29)); Urban Indian Centers; Native Community Development Financial Institutions (Native CDFIs); Alaska Native villages as defined in the Alaska Native Claims Settlement Act (ANCSA) and/or non-profit village consortia; Non-profit Native organizations in Alaska with village-specific projects; Incorporated non-profit Alaska Native multipurpose, community-based organizations; Non-profit Alaska Native Regional Corporations/Associations in Alaska with village-specific projects; Non-profit Alaska Native community entities or tribal governing bodies (Indian Reorganization Act or Traditional Councils) as recognized by the BIA; Public and non-profit private agencies serving Native Hawaiians; National or regional incorporated, nonprofit, Native American organizations with Native American, community-specific objectives.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</si>
  <si>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The Administration for Children and Families (ACF), Administration for Native Americans (ANA) announces that it will be soliciting applications for the Native American Language Preservation and Maintenance program. This program provides funding for projects to support assessments of the status of the native languages in an established community, as well as the planning, designing, restoration, and implementing of native language curriculum and education projects to support a community's language preservation goals. Native American communities include American Indian tribes (federally-recognized and non-federally recognized), Native Hawaiians, Alaskan Natives, and Native American Pacific Islanders.</t>
  </si>
  <si>
    <t>Child Welfare and Domestic Violence Agency Collaborations to Support Families</t>
  </si>
  <si>
    <t>Public and State controlled institutions of higher education Per the statute,  The Secretary may make grants to, and enter into contracts with, entities that are states, Indian tribes, or tribal organizations, or public agencies or private agencies or organizations (or combination of such entities) ...  (42 U.S.C. 5106 (a)).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</si>
  <si>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The purpose of this funding opportunity is to help jurisdictions improve community response to incidents of domestic violence where a child is present in the household. This will be done by building capacity to enhance collaboration between state, local, or tribal child welfare agencies, domestic violence agencies, and other partners. Projects will include people with lived experience with the child welfare system and/or domestic violence in critical decision-making processes, such as planning, implementing, and evaluating services and resources.The goal of the program is to improve collaboration between child welfare and domestic violence agencies to ensure that families affected by domestic violence, with or at risk of involvement with the child welfare system, have timely access to trauma-informed, individualized services and resources that improve their safety and well-being.</t>
  </si>
  <si>
    <t>Research in Basic Plasma Science and Engineering</t>
  </si>
  <si>
    <t>Others (see text field entitled "Additional Information on Eligibility" for clarification) See page 4 of the NOFO</t>
  </si>
  <si>
    <t xml:space="preserve">The DOE SC program in Fusion Energy Sciences (FES) hereby announces its interest in receiving new or renewal single-investigator or small-group applications to carry out hypothesis-driven frontier-level research in basic plasma science and engineering. The FES Discovery Plasma Science: Plasma Science and Technologyâ€“General Plasma Science (GPS) program supports research at the frontiers of basic plasma science (including astrophysical, dusty, and low temperature plasma). GPS topical areas are broad and include but are not limited to: understanding the onset of magnetic reconnection and trigger mechanisms for explosive instabilities in nature (solar flares, geomagnetic storms) and in the laboratory; magnetic dynamo processes by which magnetic fields are generated in laboratory and astrophysical plasmas; mechanisms by which energy is transferred between fields, flows, and particles; how coherent structures are created through the self-fields of the plasma and its interactions with waves; coupling of dusty plasma in strong magnetic fields; and plasma chemistry and processes related to interaction of plasma with surfaces, materials, or biomaterials. Through the support of this research, the GPS program plays a key role in training the next generation of plasma scientists and engineers.
 </t>
  </si>
  <si>
    <t>Telehealth Research Center</t>
  </si>
  <si>
    <t>Native American tribal organizations (other than Federally recognized tribal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</si>
  <si>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This notice announces the opportunity to apply for funding for the Telehealth Rapid Response Center (HRSA-25-044) and the Telehealth Research Center (HRSA-25-045). The purpose of this program is to fund research that expands the evidence base to inform policy and programs for telehealth services in underserved populations in the United States. The research supported through this program will inform providers, policymakers, and telehealth stakeholders on the latest trends and data impacting telehealth disparities and access, telehealth providers, flexibilities for telehealth care, and continued services for telehealth utilization in various specialties and via different modalities. We will award one cooperative agreement for each of the following opportunities: â€¢ The Telehealth Rapid Response Center funded under HRSA-25-044 is responsible for conducting rapid data analyses and short-term issue-specific telehealth research studies. It will provide stakeholders and the public with resources to understand the impact of telehealth policies and regulations as well as provide information that will improve telehealth access to underserved populations in the United States. â€¢ The Telehealth Research Center funded under HRSA-25-045 is responsible for conducting clinically informed and evidence-based research. The Telehealth Research Center plays a key role in helping to expand the evidence base for telehealth services and address gaps in knowledge for effectiveness, costs, and delivery, including the use of telehealth technology. This center will also conduct and maintain a comprehensive evaluation of nationwide telehealth investments in rural and underserved areas and populations. This research will help health providers and decision-makers at the local, state and federal levels by examining the impact of telehealth services in rural and underserved communities on access to health care, population health/health indicator, health care spending (both for payers and for the patients receiving the services), quality of care, value-based care, and clinical delivery of care.</t>
  </si>
  <si>
    <t>Telehealth Rapid Response Center</t>
  </si>
  <si>
    <t>Special district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</si>
  <si>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This notice announces the opportunity to apply for funding for the Telehealth Rapid Response Center (HRSA-25-044) and the Telehealth Research Center (HRSA-25-045). The purpose of this program is to fund research that expands the evidence base to inform policy and programs for telehealth services in underserved populations in the United States.
 The research supported through this program will inform providers, policymakers, and telehealth stakeholders on the latest trends and data impacting telehealth disparities and access, telehealth providers, flexibilities for telehealth care, and continued services for telehealth utilization in various specialties and via different modalities.
 We will award one cooperative agreement for each of the following opportunities:
 â€¢
 The Telehealth Rapid Response Center funded under HRSA-25-044 is responsible for conducting rapid data analyses and short-term issue-specific telehealth research studies. It will provide stakeholders and the public with resources to understand the impact of telehealth policies and regulations as well as provide information that will improve telehealth access to underserved populations in the United States.
 â€¢
 The Telehealth Research Center funded under HRSA-25-045 is responsible for conducting clinically informed and evidence-based research. The Telehealth Research Center plays a key role in helping to expand the evidence base for telehealth services and address gaps in knowledge for effectiveness, costs, and delivery, including the use of telehealth technology. This center will also conduct and maintain a comprehensive evaluation of nationwide telehealth investments in rural and underserved areas and populations. This research will help health providers and decision-makers at the local, state and federal levels by examining the impact of telehealth services in rural and underserved communities on access to health care, population health/health indicator, health care spending (both for payers and for the patients receiving the services), quality of care, value-based care, and clinical delivery of care.</t>
  </si>
  <si>
    <t>Ryan White HIV/AIDS Program Part B States/Territories Supplemental Grant Program</t>
  </si>
  <si>
    <t>Others (see text field entitled "Additional Information on Eligibility" for clarification) These types of domestic* organizations may apply:  State governments, including the District of Columbia, domestic territories, and the Freely Associated States unless any such state/territory had an unobligated balance (UOB) of more than five (5) percent of a prior years formula funds.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</si>
  <si>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This notice announces the opportunity to apply for funding under the Ryan White HIV/AIDS Program (RWHAP) Part B States/Territories Supplemental Grant Program, which includes the District of Columbia, the Commonwealth of Puerto Rico, the Virgin Islands, Guam, American Samoa, the Republic of Palau, and the Federated States of Micronesia. The purpose of this program is to supplement formula-based funding provided through the HIV Care Grant Program â€“ RWHAP Part B States/Territories Formula and AIDS Drug Assistance Program (ADAP) Formula and ADAP Supplemental Awards Notice of Funding Opportunity (HRSA-22-033).
 States/territories use RWHAP Part B Supplemental Grant Program funding in conjunction with RWHAP Part B HIV Care Grant Program funding to develop and/or enhance access to a comprehensive continuum of high-quality care and treatment services for low-income people with HIV. To obtain funding, states/territories must demonstrate that RWHAP Part B supplemental funding is necessary to provide comprehensive HIV care and treatment services for people with HIV in the state/territory. Proposed activities should include the provision of core medical and/or support services, as defined in HAB Policy Clarification Notice (PCN) 16-02: RWHAP Services: Eligible Individuals and Allowable Uses of Funds, and other activities to ensure responsiveness to unmet needs. States/territories must describe how proposed activities will address unmet needs and improve client-level health outcomes across the HIV care continuum, including viral suppression.
 Eligible RWHAP Part B states/territories that are focus areas, or have counties that are focus areas, for the Ending the HIV Epidemic in the U.S. (EHE) initiative should consider if there is a demonstrated need for RWHAP Part B supplemental funding due to the EHE initiative efforts using criteria below.
 As required in section 2620(b) of the Public Health Service (PHS) Act, states/territories must demonstrate the severity of the need for RWHAP Part B supplemental funding using quantifiable data in one or more of the following areas:
 â€¢
 The unmet need for such services, as determined under section 2617(b) of the PHS Act.
 â€¢
 An increasing need for HIV/AIDS-related services, including relative rates of increase in the number of cases of HIV/AIDS.
 â€¢
 The relative rates of increase in the number of cases of HIV/AIDS within new or emerging subpopulations.
 â€¢
 The current prevalence of HIV/AIDS. 
â€¢
 Relevant factors related to the cost and complexity of delivering health care to individuals with HIV/AIDS in the eligible area.
 â€¢
 The impact of co-morbid factors, including co-occurring conditions, determined relevant by the Secretary.
 â€¢
 The prevalence of homelessness.
 â€¢
 The prevalence of individuals who were released from federal, state, or local prisons during the preceding three (3) years and had HIV/AIDS on the date of their release.
 â€¢
 The relevant factors that limit access to health care, including geographic variation, adequacy of health insurance coverage, and language barriers.
 â€¢
 The impact of a decline in the amount of RWHAP Part B funding received on services available to all individuals with HIV/AIDS identified and eligible under this title.
 Pursuant to section 2620(c) of the PHS Act, the Secretary prioritizes funds to states/territories to address the reduction or disruption of services related to a decline in the amount of formula funding. Such a decline in funding is determined by comparing the amount of formula funding received in the current fiscal year (FY) to the amount received in FY 2006.
 If you are a state/territory with current or potential shortfalls in AIDS Drug Assistance Program (ADAP) resources, we strongly encourage you to prioritize use of RWHAP Part B supplemental funds to augment ADAP resources.</t>
  </si>
  <si>
    <t>Fiscal Year 2025 National Environmental Information Exchange Network Grant Program Solicitation Notice</t>
  </si>
  <si>
    <t>EPA</t>
  </si>
  <si>
    <t>Environmental Protection Agency</t>
  </si>
  <si>
    <t>Others (see text field entitled "Additional Information on Eligibility" for clarification) See Section 2 of the Notice of Funding Opportunity for eligibility information.</t>
  </si>
  <si>
    <t>The Exchange Network (EN) was launched in 2002 as an intergovernmental, collaborative partnership of EPA, states, territories,and Tribes to foster better environmental management and decision-making through increased access to timely, high qualityenvironmental information. This was achieved through a standards-based approach to facilitate environmental data sharing among EPA,states, Tribes, and territories. The framework adopted allows organizations to exchange data over the Internet regardless of thespecific information technology used. (See https://www.epa.gov/exchangenetwork and http://www.exchangenetwork.net/).The EN continues to evolve to adapt to emerging technologies and to meet new programmatic needs. Applicants are encouraged toparticipate in EPAâ€™s EN Forum which is a call that is held monthly to discuss how to improve and better use the EN services andpartnerships. The Forum is open to all participants; see https://exchangenetwork.net/exchange-network-forum/.The EPA EN Grant Program is soliciting project applications to:ïƒ˜ Facilitate sharing of environmental data, especially through shared and reusable services.ïƒ˜ Reduce burden and avoid costs for co-regulators and the regulated community.ïƒ˜ Streamline data collection and exchanges to improve its timeliness for decision making.ïƒ˜ Increase the quality and access to environmental data through discovery, publishing, outboundand analytical services so it is more useful to environmental managers.ïƒ˜ Increase data and IT management capabilities needed to fully participate in the EN.</t>
  </si>
  <si>
    <t>Connecting Kids to Coverage Outreach and Enrollment Cooperative Agreements  (CKC) 2025</t>
  </si>
  <si>
    <t>Nonprofits having a 501(c)(3) status with the IRS, other than institutions of higher education Only these types of organizations may apply, per the statute, 42 USC 1397mm(f)(1): _x000D_
_x000D_
_x000D_
(a) Government organizations: State governments; County governments; City or township governments; Special district governments; Native American tribal governments (federally recognized); Native American tribal organizations (other than federally recognized tribal governments);_x000D_
Indian tribes or tribal consortia, tribal organizations, urban Indian organizations receiving funds under Title V of the Indian Health Care Improvement Act (25 U.S.C.   1651 et seq.), or Indian Health Service providers_x000D_
_x000D_
_x000D_
(b) Education organizations: Independent school districts;_x000D_
Public and state-controlled institutions of higher education;_x000D_
Private institutions of higher education_x000D_
_x000D_
_x000D_
(c) Nonprofit organizations: Nonprofits that have a 501(c)(3) status with the IRS, other than institutions of higher education; Nonprofits that do not have a 501(c)(3) status with the IRS, other than institutions of higher education;	Community and consumer-focused nonprofit groups	_x000D_
_x000D_
_x000D_
If you have previously been awarded a CKC cooperative agreement funded under Section 2113 of the Social Security Act, you may apply for a new CKC cooperative agreement if your proposal meets one of the following criteria:_x000D_
   Your proposal is new and distinct from those previously funded._x000D_
   You wish to continue activities you are conducting or previously conducted, if those activities were successful in enrolling and/or retaining eligible children in Medicaid and CHIP. _x000D_
_x000D_
You will need to submit data to demonstrate you were successful. We will not consider previous recipients who did not meet at least 40 percent of their combined new enrollment and renewal goals for children each budget year.</t>
  </si>
  <si>
    <t xml:space="preserve">The Centers for Medicare   Medicaid Services (CMS) is seeking applications for the Connecting Kids to Coverage (CKC) Outreach and Enrollment Cooperative Agreements program. You may use funds to:Â· Target eligible, unenrolled children and help enroll them in Medicaid and the Childrenâ€™s Health Insurance Program (CHIP).Â· Improve retention of eligible children who are already enrolled. </t>
  </si>
  <si>
    <t>Competitive Highway Bridge Program</t>
  </si>
  <si>
    <t>DOT-FHWA</t>
  </si>
  <si>
    <t xml:space="preserve">DOT Federal Highway Administration </t>
  </si>
  <si>
    <t>Others (see text field entitled "Additional Information on Eligibility" for clarification) Eligibility: State departments of transportation (State DOT) for Alaska, Arkansas, Iowa, Kansas, Kentucky, Louisiana, Maine, Mississippi, Missouri, Montana, Nebraska, North Dakota, Oklahoma, South Dakota, Utah, West Virginia, Wisconsin, and Wyoming.  States eligible to receive no less than $32.5 million include Iowa, Maine, South Dakota, and West Virginia.An eligible State DOT may submit an application in partnership with a non-State DOT non-eligible applicant.  If such application is selected to receive an award, the State DOT must be the recipient of grant funds.  A State DOT may submit no more than three (3) applications including applications submitted in partnership with a non-State DOT.  If a State DOT submits multiple applications the State shall clearly identify their order of ranking in each application narrative and in the project title, i.e., State DOT rank #1 application and State DOT rank #2 application.</t>
  </si>
  <si>
    <t>This Notice of Funding Opportunity is for the Competitive Highway Bridge Program (CHBP) the Grant Program is a discretionary grant program that provides funding towards highway bridge replacement or rehabilitation projects on public roads that demonstrate cost savings by bundling at multiple highway bridge projects. Eligible phases of work must include construction however an application may also include environmental clearance, preliminary engineering, and/or final design.
The purpose of the CHBP is to provide grants to States that have a population density of less than 115 individuals per square mile and less than 26 percent of total bridges classified as in good condition or greater than or equal to 5.2 percent of total bridges classified in poor condition for highway bridge replacement or rehabilitation projects on public roads that demonstrate cost savings by bundling multiple highway bridge projects. States meeting the population criteria and that have greater than 14 percent of total bridges classified as in poor condition are eligible to receive no less than $32.5 million, pursuant to a determination that projects are eligible and sufficient to fund such amount. 
This grant program is not associated with any previous grant programs, eligibility and award criteria, or application requirements including the FY 2018 CHBP. The eligibility and award criteria and application requirements provided under this NOFO are unique to the FY 2024 CHBP.</t>
  </si>
  <si>
    <t>Great Lakes Coastal Wetlands Monitoring Program</t>
  </si>
  <si>
    <t>The Great Lakes Coastal Wetland Monitoring Program (GLCWMP) helps EPA satisfy statutory requirements under section 118 of the Clean Water Act to establish a Great Lakes system-wide surveillance network to monitor the water quality of the Great Lakes, with a special emphasis on the monitoring and reporting on the health of the coastal wetlands in each of the five Great Lakes. The GLCWMP uses a comprehensive approach to sample and assess all major coastal wetlands throughout the Great Lakes Basin using standardized procedures. Monitoring of all coastal wetlands is logistically impractical and cost prohibitive, so the GLCWMP strategically monitors wetlands that are greater than 4 hectares (about 10 acres) in area and have a surface water connection to one of the Great Lakes or their connecting rivers. A total of 1,014 coastal wetlands meets these criteria and are sampled at least once every five years under a rotating schedule where approximately 200 wetlands are sampled each year. Monitoring of birds, amphibians, fish, macroinvertebrates and plant communities, and water quality occurs at a subset of the Great Lakes coastal wetland sites annually. The data collected at these sites are used to inform indicators and indices to assess the status and trends of Great Lakes coastal wetland conditions. Since the GLCWMP began in 2011, over 1,000 wetland sites representing over 400,000 acres of coastal wetland habitat have been monitored. All of the coastal wetlands that have been sampled for this effort can be viewed at: https://www.epa.gov/great-lakes-monitoring/how-cwmp-data-are-being-used. Information on the GLCWMP protocols can be viewed at: https://www.epa.gov/great-lakes-monitoring. The targeted audience for this funding announcement is entities that are capable of conducting coastal wetlands field sampling and analyses of coastal wetland condition in support of GLWQMP established metrics. EPA is seeking applications for funding to support the Great Lakes Coastal Wetland Monitoring Program (GLCWMP) activities. The GLCWMP was established to monitor and report on the health of coastal wetlands in each of the five Great Lakes. The GLCWMP helps satisfy statutory requirements to establish a Great Lakes system-wide surveillance network to monitor the water quality of the Great Lakes.Great Lakes coastal wetlands are important ecosystems that provide habitat for diverse plant and animal communities, ecological functions, and opportunities for recreation. Despite their importance, more than 50% of these wetlands have been destroyed or degraded over the past century. Currently, approximately 500,000 acres of coastal wetlands exist in the Great Lakes and assessing the overall quality of these remaining coastal wetland habitats is of high importance. To assess the status of Great Lakes coastal wetlands and inform restoration and protection efforts, the Great Lakes Restoration Initiative (GLRI) supports the GLCWMP.</t>
  </si>
  <si>
    <t>Great Lakes Fish Monitoring and Surveillance Program</t>
  </si>
  <si>
    <t>The Great Lakes Fish Monitoring and Surveillance Program (GLFMSP) helps EPA satisfy statutory requirements under section 118 of the Clean Water Act to establish a Great Lakes system-wide surveillance network to monitor the water quality of the Great Lakes, with a special emphasis on the monitoring of toxic pollutants. The goals of the GLFMSP are to collect, analyze, and report contaminant concentrations in Great Lakes top-predator fish, improve understanding of contaminant cycling throughout food webs in the Great Lakes, and screen for emerging chemicals in fish tissue to identify priority chemicals warranting future study.</t>
  </si>
  <si>
    <t>Senior Medicare Patrol State Project Grants - Michigan</t>
  </si>
  <si>
    <t>County governments Foreign entities are not eligible to compete for, or receive, awards made under this announcement. Faith-based and community organizations that meet the eligibility requirements are eligible to receive awards under this funding opportunity announcement.</t>
  </si>
  <si>
    <t>The mission of the Administration for Community Living (ACL) Senior Medicare Patrol (SMP) program is to empower and assist Medicare beneficiaries, their families, and caregivers to prevent, detect, and report healthcare fraud, errors, and abuse. Through outreach, counseling, and education, the SMP program increases awareness and understanding of healthcare programs to protect Medicare beneficiaries from the economic and health-related consequences associated with Medicare fraud, errors, and abuse. ACL currently provides grant funding to support 54 SMP state projects, including grantees in all 50 states, the District of Columbia, Puerto Rico, Guam, and the US Virgin Islands. The SMP projects use this funding to provide local outreach, education, and assistance to Medicare beneficiaries through a trained workforce, many of which are volunteers. SMP projects teach Medicare beneficiaries to protect their Medicare numbers, to detect billing discrepancies on their Medicare statements, and to report suspicious activity for further investigation. In addition, SMP projects actively disseminate fraud prevention and identification information through the media, outreach campaigns, and community events. As a result of these efforts, beneficiaries contact the SMP projects with inquiries and complaints regarding potential Medicare fraud, errors, and abuse. SMPs provide in-depth counseling and assistance to help beneficiaries who present with questions and issues. With this funding opportunity, ACL anticipates awarding up to 1 cooperative agreement to support an SMP project in Michigan.</t>
  </si>
  <si>
    <t>National Telehealth Resource Center program</t>
  </si>
  <si>
    <t>We welcome eligible organizations to apply for funding under the Regional Telehealth Resource Center (RTRC) program and the National Telehealth Resource Center (NTRC) program.
 These telehealth resource centers will support healthcare organizations, networks, and providers with telehealth implementation and training for rural areas, frontier communities, and medically underserved areas, as well as for medically underserved populations.</t>
  </si>
  <si>
    <t>Regional Telehealth Resource Centers</t>
  </si>
  <si>
    <t>County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</si>
  <si>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We welcome eligible organizations to apply for funding under the Regional Telehealth Resource Center (RTRC) program and the National Telehealth Resource Center (NTRC) program.
 These telehealth resource centers will support healthcare organizations, networks, and providers with telehealth implementation and training for rural areas, frontier communities, and medically underserved areas, as well as for medically underserved populations</t>
  </si>
  <si>
    <t>Rural Healthcare Provider Transition Project</t>
  </si>
  <si>
    <t>County governments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Domestic organizations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</si>
  <si>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Rural Healthcare Provider Transition Project provides technical assistance (TA) to help small rural hospitals and rural health clinics (RHCs) strengthen their foundations in key elements of value-based care. The Center for Medicare and Medicaid Services (CMS) defines value-based care as focusing on quality, provider performance, and patient experience. Value-based programs encourage hospitals to improve the quality, efficiency, patient experience, and safety of care that Medicare beneficiaries receive during acute care inpatient stays. The TA offered through this cooperative agreement strengthens these key elements of value-based care. TA will give hospitals and RHCs a clear understanding of value-based care and the strategies they can use to effectively participate in a healthcare system focused on value.
 The CMS defines health equity as â€œthe attainment of the highest level of health for all people, where everyone has a fair and just opportunity to attain their optimal health regardless of race, ethnicity, disability, sexual orientation, gender identity, socioeconomic status, geography, preferred language, or other factors that affect access to care and health outcomes.â€ In alignment with the HHS priority to achieve equitable healthcare, TA within this program will advance health equity. Value-based care advances health equity by:
 â€¢
 Focusing and having a measurable impact on the health outcomes of every person, including those from underserved populations.
 â€¢
 Encouraging healthcare providers to screen for social needs and work with individuals to develop personalized treatment plans that address their unique needs, such as connecting them to a local food bank, providing interpreter services, or arranging transportation and other accommodations.
 â€¢
 Requiring healthcare providers to monitor and track outcomes across populations to evaluate health disparities and intervene as necessary to help close gaps in access or care.
 â€¢
 Engaging providers who have historically worked in underserved communities and providing necessary resources to meet this health equity goal.</t>
  </si>
  <si>
    <t>Rural Communities Opioid Response Program   Pathways</t>
  </si>
  <si>
    <t>Nonprofits that do not have a 501(c)(3) status with the IRS, other than institutions of higher education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</si>
  <si>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RCORP-Pathways is to create innovative new youth-focused behavioral health care support programs, while also offering behavioral health care career pathway opportunities in rural communities. Award recipients will establish and work within a network of organizations to engage youth in developing and implementing behavioral health care support programming. Through these efforts, RCORP-Pathways will improve behavioral health care in rural areas.
 Goal 1: Pathway Establish pathway programs to introduce youth to behavioral health careers and facilitate admittance into formalized training programs.
 Goal 2: Engagement Engage youth to develop and implement peer-driven behavioral health programming in rural communities.
 Goal 3: Sustainability Develop innovative, multi-sectoral approaches to ensure the continued availability of RCORP-Pathways supported activities in the target rural service area.</t>
  </si>
  <si>
    <t>Native Hawaiian Library Services Grants (2025)</t>
  </si>
  <si>
    <t>IMLS</t>
  </si>
  <si>
    <t>Institute of Museum and Library Services</t>
  </si>
  <si>
    <t>Others (see text field entitled "Additional Information on Eligibility" for clarification) See the Notice of Funding Opportunity for program eligibility criteria.</t>
  </si>
  <si>
    <t>The Native Hawaiian Library Services (â€˜NHâ€™) program is designed to assist Native Hawaiian serving organizations in sustaining and improving library services with their communities. As information needs change, Native Hawaiian organizations must be able to serve as knowledge and resource centers to benefit their users and the wellness of their communities. The NH program supports organizations across the islands and country to address their individual information needs and priorities.  
Projects may involve, but are not limited to, activities such as: 
 educational programming for all ages; 
 oral history collection and documentation; 
 digital media and technology enhancements; 
 institutional planning and policy development; 
 professional training, internships, and mentorships; 
 supporting and engaging with cultural practitioners and scholars; 
research and development of language and cultural material and tools; 
 digitization and digital preservation; and 
 furnishing of library spaces for staff and public within existing constructed spaces (please note that IMLS funds are not allowed for construction).</t>
  </si>
  <si>
    <t>Rehabilitation Research and Training Center (RRTC) on Health and Function Among People with Serious Mental Health Conditions</t>
  </si>
  <si>
    <t>The purpose of the RRTCs is to achieve the goals of, and improve the effectiveness of, services authorized under the Rehabilitation Act through well-designed research, training, technical assistance, and dissemination activities in important topical areas as specified by NIDILRR. The purpose of this particular RRTC is to conduct research, training, technical assistance, and related activities to contribute to positive health and function outcomes among people with serious mental health conditions. NIDILRR plans to make one grant under this opportunity. The grant will have a 60-month project period, with five 12-month budget periods.</t>
  </si>
  <si>
    <t>Disseminating PCOR Evidence for Long COVID Care into Practice Through Up-to-Date Clinical Decision Support</t>
  </si>
  <si>
    <t>HHS-AHRQ</t>
  </si>
  <si>
    <t>Agency for Health Care Research and Quality</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</si>
  <si>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</si>
  <si>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The purpose of this is NOFO is to disseminate patient-centered outcomes (PCOR) evidence for Long COVID care into clinical practice through clinical decision support (CDS) that is consistently updated as best practices and new evidence emerge.</t>
  </si>
  <si>
    <t>Single Source: Bench to Bassinet Congenital Heart disease Advancing New understanding in GEnomics Cohort (B2B CHANGE Cohort) Data Coordinating Center (U01 Clinical Trial Not Allowed)</t>
  </si>
  <si>
    <t>Public and State controlled institutions of higher education Other Eligible Applicants include the following:
Non-domestic (non-U.S.) Entities (Foreign Organizations) are not eligible to apply.
Non-domestic (non-U.S.) components of U.S. Organizations are not eligible to apply.
Foreign components, as defined in the NIH Grants Policy Statement, are allowed.
Only the following applicant is eligible to apply for this single source funding: Cincinnati Children's Hospital Medical Center.</t>
  </si>
  <si>
    <t>The B2B Pediatric Cardiac Genomics Consortium (PCGC) (http://www.benchtobassinet.com/) will evolve to the B2B CHANGE Cohort (Congenital Heart disease Advancing New understanding in GEnomics). The B2B CHANGE Cohorts mission will be to conduct long-term clinical follow up on participants from the original PCGC Cohort, to perform deeper cohort phenotyping and to support investigators in applying for funding to conduct multi-center, collaborative ancillary studies to further understand how genetic variants relate to clinical outcomes. The Administrative Coordinating Center (ACC) will serve to lead and advance data and resource management and sharing, and coordinate critical data collection and participant outreach efforts at the clinical research sites. The ACC will work in a collaborative fashion with site PIs, as well as the broader congenital heart disease (CHD) research community.</t>
  </si>
  <si>
    <t>De-risking Innovative Grid Technologies to Facilitate Adoption of Solutions that Promote Reliability, Resilience, Security, and Affordability</t>
  </si>
  <si>
    <t>The purpose of this Request for Information (RFI) is to obtain input to inform planning of the Office of Electricityâ€™s Applied Grid Transformation Solutions (AGTS) program. The AGTS program was initiated in 2023 with a focus on facilitating the adoption of innovative grid technologies that broaden the reliability, resilience, security, and affordability of the Nationâ€™s electricity delivery infrastructure as it is being transformed to meet a more dynamic, decentralized, and complex operating environment, including new and emerging threats and challenges. 
This is solely a request for information and is not a Notice of Funding Opportunity. The Department of Energy is not accepting applications to this Request for Information.</t>
  </si>
  <si>
    <t>Multimodal Artificial Intelligence to Accelerate HIV Clinical Care (R01 Clinical Trial Optional)</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</si>
  <si>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</si>
  <si>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This initiative will leverage cutting edge generative AI technology to augment existing narrow AI/ML approaches used in clinical care that will expand our capacity to address the dynamic, complex, and evolving HIV epidemic.</t>
  </si>
  <si>
    <t>BIL DE-FOA-0003525: 2025 RENEW AMERICA'S SCHOOLS PRIZE TO COOPERATIVE AGREEMENT</t>
  </si>
  <si>
    <t>Others (see text field entitled "Additional Information on Eligibility" for clarification) Please read NOFO document for full eligibility requirements at https://www.herox.com/2025renewschoolsprize</t>
  </si>
  <si>
    <t>To apply, please register with the online application portal, HeroX, at https://www.herox.com/2025renewschoolsprize.  Rules and required documents for application packages are available on the HeroX website.
2025 Renew Americaâ€™s Schools PRIZE to Cooperative Agreement Overview:
The 2025 Renew Americaâ€™s School Prize will provide up to $4.2M in cash prize awards of $300,000 each, followed by cooperative agreement awards between $7.5M and $15M.
The U.S. Department of Energy (DOEâ€™s) Renew Americaâ€™s Schools program provides investments to transform decaying public school infrastructure into healthier, more energy efficient learning environments. The program supports the implementation of infrastructure improvements in schools, with a focus on local educational agencies (LEAs) that qualify as rural and/or high poverty. Through Renew Americaâ€™s Schools, DOE will help create healthier learning environments, lower utility costs, and redirect funds to support students and teachers.
The 2025 Renew Americaâ€™s Schools Prize consists of the Prize competition (Phase 1) and a subsequent Cooperative Agreement (Phase 2 and Phase 3). Competitors submitting proposals should be organizations with the capacity to aggregate and manage portfolios of school facilities to receive energy assessments and improvements. Competitors should consider leveraging the Teaming Partner List, found on the HeroX prize page, to add additional capacity and expertise.
This Official Rules document outlines the components of the Renew Americaâ€™s Schools Prize (Phase 1) and subsequent Cooperative Agreement process and funding (Phase 2 and Phase 3). 
Submission Deadlines
Application Submission Deadline: Thursday, April 3rd, 2025 by 5pm ET.
Applications must be submitted on HeroX, not through Exchange.
PRIZE (PHASE 1)
PHASE 1 (PRIZE): Portfolio + Team = Up to 14 Winners at $300,000 cash prize each
In Phase 1 (â€œPortfolio + Teamâ€), competitors will identify a minimum of 10 schools/school facilities to be included in their application. The portfolio may span multiple LEAs. The portfolio should exhibit a high need for energy assessments and, ultimately, energy improvements. The goal of Phase 1 is for competitors to successfully assemble their project team, assemble their portfolio of school facilities, demonstrate the need for energy improvements at schools and school facilities in the defined portfolio, and outline their process to complete the tasks in Phase 2. Based on successful completion of Phase 1, winners will be invited to enter into negotiations with DOE for a Cooperative Agreement. Negotiations for Cooperative Agreement will require additional steps as outlined below.
COOPERATIVE AGREEMENT (PHASE 2 and PHASE 3)
PHASE 2 (COOPERATIVE AGREEMENT): Strategic Plan + Energy Audits = $500,000 to $1,000,000 per recipient
ONLY winners from the Phase 1 Prize will be eligible to negotiate with DOE to receive a Cooperative Agreement for Phase 2 and Phase 3 funding. The Selection Official reserves the right to down select the number of Phase 1 winners that will enter into negotiations with DOE for a Cooperative Agreement for Phase 2 and Phase 3 funding.
Phase 2 (â€œStrategic Plan + Energy Auditsâ€) will be synonymous with Budget Period 1 of the Cooperative Agreement. Funding in Phase 2 will reimburse Recipients for costs associated with energy audits and strategic planning and design. DOE will[1] allocate a set amount of funding per Recipient, determined by the number of schools or school facilities submitted in their Phase 1 application [see Table 1 below]. In Phase 2, Recipients conduct The American Society of Heating, Refrigerating and Air-Conditioning Engineers (ASHRAE) Level 2 energy audits of all the schools/school facilities in the portfolio and develop a comprehensive Strategic Plan for implementing energy improvements. Energy audits and the Strategic Plan should provide schools with clear pathways to prioritize energy improvements, access private sector funding and/or tax credits, and realize high-impact health and safety benefits.
PHASE 3 (COOPERATIVE AGREEMENT): Implementation = $7,000,000 to $14,000,000 per recipient
Phase 3 (â€œImplementationâ€) will be synonymous with Budget Period 2 of the Cooperative Agreement. In Phase 3, DOE will allocate a set amount of funding per Recipient, determined by the number of schools/school facilities submitted in their Phase 1 application [see Table 1]. In Phase 3, Recipients oversee implementation of the energy improvements identified at the end of Phase 2. DOE will work with Recipients to ensure high-priority energy improvements are implemented within the allotted budget for Phase 3. Phase 3 should directly advance the measurable goals of energy savings and high impact health and safety benefits outlined in Phase 1. 
Webinar Details
DOE will Host the following Informational Webinars:
Â·	Informational Webinar: Tuesday, January 7th, 2025 @ 3pm ET (see HeroX for Zoom Link)
Â·	Office Hours #1: Wednesday, February 12th, 2025 @ 3pm ET (see HeroX for Zoom Link)
Â·	Office Hours #2: Tuesday, March 4th, 2025 @ 3pm ET (see HeroX for Zoom Link)
Please visit HeroX to register for upcoming events and view recordings of previous webinars.
Teaming Partner List
DOE is continuing to gather information for the â€œTeaming Partner Listâ€ to facilitate the formation of project teams for this Prize. The Teaming Partner List allows organizations who may wish to participate on an application to express their interest to other competitors, explore potential partnerships, and form project teams.
Updates to the Teaming Partner List will be available on the HeroX prize page. The Teaming Partner List will be regularly updated to reflect new teaming partners who provide their organizationâ€™s information.
SUBMISSION INSTRUCTIONS: Any organization that would like to be included on the Teaming Partner List should fill out this Microsoft form or email the information to Schools@doe.gov with the subject line â€œTeaming Partner Information.â€
DISCLAIMER: By submitting a request to be included on the Teaming Partner List, the requesting organization consents to the publication of the above-referenced information. By facilitating the Teaming Partner List, DOE is not endorsing, sponsoring, or otherwise evaluating qualifications of individuals and organizations self-identifying themselves for placement on the Teaming Partner List. DOE will not pay for the provision of any information, nor will it compensate any competitors or requesting organizations for the development of such information.
Contact Information &amp; Questions
Submit questions to Schools@DOE.gov. Please refer to the HeroX website to find the answer to your emailed question.</t>
  </si>
  <si>
    <t>U.S. Embassy Managua Annual Program Statement</t>
  </si>
  <si>
    <t>DOS-NIC</t>
  </si>
  <si>
    <t>U.S. Mission to Nicaragua</t>
  </si>
  <si>
    <t>Others (see text field entitled "Additional Information on Eligibility" for clarification)  	Not-for-profit organizations, including think tanks and civil society/non-governmental organizations  	Commercial educational and cultural organizations with not-for-profit activities; 	Individuals</t>
  </si>
  <si>
    <t>U.S. Embassy Managua of the U.S. Department of State announces an open competition for organizations or individuals to submit a statement of interest (SOI) for funding to carry out a project that advances U.S. public diplomacy priorities and reinforces ties between the people of the United States and Nicaragua. Please carefully follow all instructions below.
The submission of the SOI is the first step in a two-step process. Applicants must first submit a concise 1-4 page statement of interest designed to clearly communicate projects idea and objectives. This is not a full proposal and will not result in a federal assistance award at this step.
The purpose of the SOI process is to allow applicants to submit project ideas for evaluation prior to requiring the development of a full proposal application. Upon a merit review of eligible SOIs, selected applicants will be invited to expand on their project idea(s) by submitting a full proposal application. Full proposals will go through a second merit review before final funding decision(s) are made. 
Please click on the "Related Documents" tab to download the full announcement and sample Statement of Interest form. Completed Statement of Interest forms should be submitted to PASManagua@state.gov with the subject header "APS Statement of Interest [PROJECT NAME]."</t>
  </si>
  <si>
    <t>Rural Residency Planning and Development (RRPD) program</t>
  </si>
  <si>
    <t>Native American tribal organizations (other than Federally recognized tribal governments) These types of domestic* organizations may apply: Public or private institutions of higher education, as part of a graduate medical education (GME) consortium, including:Schools of allopathic medicineSchools of osteopathic medicineHistorically Black Colleges and Universities (HBCUs) Rural hospitals Rural community-based ambulatory patient care centers, including Rural Health Clinics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</si>
  <si>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purpose of the Rural Residency Planning and Development (RRPD) program is to improve and expand access to health care in rural areas by developing new sustainable rural residency programs, including rural track programs (RTPs).
 These residency programs must achieve accreditation from the Accreditation Council for Graduate Medical Education (ACGME). Newly created rural residency programs will increase the number of future physicians training in rural areas, and ultimately the number of physicians practicing in rural areas with the goal of addressing the physician workforce shortages in rural communities.
 The RRPD program provides start-up funding to create new rural residency programs in qualifying medical specialties that will be sustainable long-term through viable and stable funding mechanisms, such as Medicare, Medicaid, and other public or private funding sources. Qualifying medical specialties are family medicine, internal medicine, preventive medicine, psychiatry, general surgery, and obstetrics and gynecology.
 For this notice of funding opportunity (NOFO), rural residency programs:
 â€¢Are accredited physician residency programs.
 â€¢Train residents in clinical training sites that are physically located in a rural area as defined by HRSAâ€™s Federal Office of Rural Health Policy (FORHP) [1] for greater than 50 percent of their total time in residency.
 â€¢Focus on producing physicians who will practice in rural communities.
 The purpose of the RRPD Program is to fund the development of new rural residency programs in qualifying medical specialties. For this funding opportunity, we consider â€œnewâ€ programs to include both programs seeking accreditation for the first time and existing programs that apply for a permanent complement increase to train additional residents at new rural training site(s) as part of an RTP. To be responsive to the program purpose and be considered for funding, you must propose a new rural residency program in a qualifying medical specialty. For this funding opportunity, we do not consider the following to be new programs:
 â€¢Programs that have received accreditation or a permanent complement increase for their proposed rural residency program before the application due date.
 â€¢Programs seeking to increase resident full-time equivalents at an existing RTP site without adding a new rural training site.</t>
  </si>
  <si>
    <t>Rural Communities Opioid Response Program   Northern Border Rural Workforce</t>
  </si>
  <si>
    <t>Private institutions of higher education All domestic public or private, non-profit and for-profit, entities with a physical location in the states of Maine, New York, New Hampshire, or Vermont are eligible to apply. This includes: Public institutions of higher education Private institutions of higher education Non-profits with or without a 501(c)(3) IRS status For-profit organizations, including small businesses State, county, city, township, and special district governments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</si>
  <si>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Rural Communities Opioid Response Program â€“ Northern Border Rural Workforce (RCORP-Northern Border) is to improve health care in rural areas within the Northern Border Regional Commissionâ€™s service area (Maine, New Hampshire, New York, Vermont) by enhancing behavioral health workforce capacity</t>
  </si>
  <si>
    <t>Enabling Discovery through GEnomics</t>
  </si>
  <si>
    <t>Others (see text field entitled "Additional Information on Eligibility" for clarification) *Who May Serve as PI:
There are no restrictions or limits.</t>
  </si>
  <si>
    <t>Through the Enabling Discovery through GEnomics (EDGE) program, the National Science Foundation (NSF) and the National Institutes for Health (NIH) support research to advance understanding of comparative and functional genomics. The EDGE program supports the development of innovative tools, technologies, resources, and infrastructure that advance biological research focused on the identification of the causal mechanisms connecting genes and phenotypes. The EDGE program also supports functional genomic research that addresses the mechanistic basis of complex traits in diverse organisms within the context (environmental, developmental, social, and/or genomic) in which they function. These goals are essential to uncovering the rules that underlie genomes-to-phenomes relationships and predict phenotype, an area relevant to Understanding the Rules of Life: Predicting Phenotype, one of the 10 Big Ideas for NSF investment. The goals also support the NHGRI priority to establish the roles and relationships of all genes and regulatory elements in pathways, networks, and phenotypes.</t>
  </si>
  <si>
    <t>SMART FY25 Maintenance and Operation of the Dru Sjodin National Sex Offender Public Website</t>
  </si>
  <si>
    <t>Nonprofits having a 501(c)(3) status with the IRS, other than institutions of higher education 1) Nonprofit Organizations: Nonprofits a 501(c)(3) status with the Internal Revenue Service (IRS), other than institutions of higher education; and 2) For-Profit Organizations: Organizations other than small businesses, as well as small businesses (where the company meets the size standards established by the U.S. Small Business Administration (SBA) for most industries in the economy)</t>
  </si>
  <si>
    <t>General Purpose of the Funding:
The Office of Justice Programs has supported NSOPW since 2005. In FY 2008, the SMART Office assumed management responsibility for this program as NSOPW is closely aligned with SMARTâ€™s mission, and jurisdiction participation (including states, the District of Columbia, principal U.S. territories and certain federally recognized Indian Tribes) is required by SORNA. Since 2008, Congress has specifically appropriated funds for NSOPW. At present, all 50 states, the District of Columbia, the territories of American Samoa, Commonwealth of the Northern Mariana Islands, Guam, Puerto Rico, and the U.S. Virgin Islands and 151 Tribes participate in NSOPW.
NSOPW operates similarly to a search engine and uses web services to access registered sex offender information directly from individual jurisdictions. NSOPW links to state, territory, the District of Columbia, and Tribal public sex offender registries and allows users to conduct nationwide searches for registered sex offenders with one query rather than searching jurisdiction by jurisdiction. Since its inception, NSOPW has been heavily queried by the public and has had over 735 million searches and over 2 billion page views.   In 2016, the SMART Office launched the NSOPW mobile application, allowing users to search from any mobile device. Available on Android and iOS, users have used the application to conduct over 11 million searches.  
In addition to the maintenance and support of NSOPW, this award supports the maintenance and enhancement of the SORNA Exchange Portal, a secure information-sharing system for jurisdictions as required under SORNA. This internet-based system provides a venue to streamline communication and coordination among jurisdictionsâ€™ sex offender registry officials, as well as federal agencies. 
The cooperative agreement also supports the Tribe and Territory Sex Offender Registry System (TTSORS) and the Sex Offender Registry Tool (SORT). TTSORS is a web-based sex offender registry system that is free of charge to U.S territories and Indian Tribes that have elected to implement SORNA. TTSORS functions as both the administrative registry system and the public sex offender registry website for jurisdictions, which allows for participation in NSOPW. TTSORS also streamlines data sharing for Tribes participating in DOJâ€™s Tribal Access Program (TAP) by automatically sending registry information to the FBIâ€™s National Sex Offender Registry (NSOR) and ensuring data synchronization between TTSORS and NSOR. In partnership with TAP, this cooperative agreement supports the development and enhancement of the TTSORS-NSOR interconnection tool, enabling over 100 Tribal sex offender registry databases to directly connect to NSOR and significantly increasing the accuracy, completeness, and timeliness of Tribal data shared with law enforcement nationwide. SORT is a similar tool that may be used by registration agencies in states, U.S. territories and the District of Columbia, and provides a free customizable administrative registry system and public sex offender registry website. It is designed to enhance information-sharing capabilities and maximize efficiency and cost effectiveness of registry system setup and ongoing maintenance. 
The award also supports training for each of the technology tools and related resource development for jurisdictions, as well as the monitoring, maintenance, and updating of the NSOPW mobile applications for Android and iOS and NSOPWâ€™s social media page.
Applicants should refer to Application Contents, Submission Requirements, and Deadlines: Budget Detail Form for information on allowable and unallowable costs that may inform the development of their project design.</t>
  </si>
  <si>
    <t>Understanding the Intersection of Social Inequities to Optimize Health and Reduce Health Disparities: The Axes Initiative (R01 Clinical Trial Optional)</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</si>
  <si>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</si>
  <si>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Research shows that intersecting systems of privilege and oppression produce and sustain wide and unjust variations in health. The Axes Initiative will support research to understand health at the intersections of social statuses such as race, ethnicity, socioeconomic status, sexual orientation, and ability, by examining contributions of social and other determinants of health.</t>
  </si>
  <si>
    <t>Office of Postsecondary Education (OPE): International Foreign Language Education (IFLE): Fulbright-Hays Faculty Research Abroad (FRA) Fellowship Program, Assistance Listing Number 84.019A</t>
  </si>
  <si>
    <t>Others (see text field entitled "Additional Information on Eligibility" for clarification) 1.  a.  Eligible Applicants:  Institutions of higher education (IHEs).  Eligible faculty members at the IHE submit their individual research narratives and application forms to their home IHE representative, who compiles all research narratives from faculty and incorporates them into the grant application package that the institution submits electronically through the Department s G6 system on behalf of all applicant faculty at that institution.b.  Individuals Eligible to Receive a Fellowship:  A faculty member is eligible to receive a fellowship if the individual--is a citizen, national or permanent resident of the United States; is employed by an IHE; has been engaged in teaching relevant to their foreign language or area studies specialization for the two years immediately preceding the date of the award; proposes research relevant to their modern foreign language or area studies specialization, which is not dissertation research for a doctoral degree; and possesses sufficient foreign language skills to carry out the dissertation research project.</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</si>
  <si>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ï»¿Purpose of Program: The Fulbright-Hays FRA Fellowship Program provides grants to colleges and universities to fund fellowships for faculty members seeking to improve their area studies and foreign language skills by conducting research abroad. The program is designed to contribute to the development and improvement of the study of modern foreign languages and area studies in the United States.</t>
  </si>
  <si>
    <t>Nursing Home Staffing Campaign</t>
  </si>
  <si>
    <t xml:space="preserve">Small businesses </t>
  </si>
  <si>
    <t>The Centers for Medicare   Medicaid Services (CMS) is committed to improving safety and quality of care in the nationâ€™s nursing homes. Nursing home staffing is a critical factor for improving care for nursing home residents.However, nursing homes sometimes struggle to hire enough nursing staff to meet residentsâ€™ needs. Additionally, state survey agencies, who are responsible for inspecting nursing homes for compliance with federal regulations, also struggle to hire nurses to conduct these inspections. The Nursing Home Staffing Campaign (NHSC) is aimed at increasing the availability of nurses to work in the nursing home environment, such as in qualifying nursing homes or in an oversight capacity for a state inspection agency.This Notice of Funding Opportunity (NOFO) is focused on helping to recruit Registered Nurses (RNs) to work in nursing homes by offering financial incentives. Through this NOFO, CMS is accepting applications for cooperative agreements to entities who will administer financial incentives, such as tuition reimbursement and stipends, to RNs to work for three years in a qualifying nursing home or in an oversight role with a state agency</t>
  </si>
  <si>
    <t>Limited Competition: Advancing the Science of Complementary and Integrative Health Approaches to Improve Maternal Health Outcomes (R01 Clinical Trial Required)</t>
  </si>
  <si>
    <t>Public and State controlled institutions of higher education Other Eligible Applicants include the following:
Non-domestic (non-U.S.) Entities (Foreign Organizations) are not eligible to apply.
Non-domestic (non-U.S.) components of U.S. Organizations are not eligible to apply.
Foreign components, as defined in the NIH Grants Policy Statement, are allowed.
For eligibility criteria details, check the funding opportunity.</t>
  </si>
  <si>
    <t>This notice of funding opportunity (NOFO) invites  investigators currently funded through the NIH Implementing a Maternal Health and Pregnancy Outcomes Vision for Everyone (IMPROVE)   Initiative to develop applications to test the feasibility of complementary and integrative approaches with psychological and/or physical inputs (often called mind and body interventions) to promote healthy pregnancies and enhance maternal health outcomes. Currently funded IMPROVE investigators- particularly the Maternal Health Centers of Excellence- are encouraged to partner with investigators with complementary and integrative health expertise.  Eligibility is limited to currently funded investigators of the IMPROVE initiative. Applications submitted under this NOFO are expected to propose a multisite feasibility clinical trial that will provide new information that is scientifically necessary for the planning and conduct of a subsequent clinical efficacy or effectiveness study, pragmatic trial, or dissemination and implementation trial on a mind and body intervention to enhance maternal health. It is expected that applications to this NOFO will describe the planned future clinical trial and in so doing demonstrate that the proposed (R01) research is scientifically necessary to design or plan the subsequent fully powered, full-scale clinical trial. Under this R01, the data collected should be used to fill gaps in scientific knowledge, including, but not limited to the following: assessing whether the intervention can be delivered with fidelity across sites; demonstrating feasibility of recruitment, accrual, and randomization of participants across sites; demonstrating participant adherence to the intervention, as well as retention of participants throughout the study across sites; refining and assessing the feasibility of protocolized multimodal interventions, and/or demonstrating feasibility of data collection across sites in preparation for a future fully powered, multisite efficac</t>
  </si>
  <si>
    <t>Private Facility Research Program</t>
  </si>
  <si>
    <t xml:space="preserve">The DOE SC program in Fusion Energy Sciences (FES) hereby announces its interest in applications for a Private Facility Research (PFR) program to support public research utilizing world leading experimental capabilities owned by private companies. Along the path to constructing Fusion Pilot Plants (FPPs), many private fusion companies are constructing interim small-to-large scale research facilities to establish the scientific and/or technological basis for their chosen fusion concepts. Since the research on these interim facilities is largely foundational in nature, the mission overlap between the public and private sectors is large. Consistent with the FES Building Bridges Vision[1], the PFR program serves as a bridge from boldly delivered private sector hardware back to foundational research expertise residing in the public sector. Through the program, public researchers will conduct open peer-reviewed science at private facilities, to enhance the scientific rigor and breadth of the existing private efforts for the mutual benefit of all involved. As with all thriving high-tech industries, a strong connection to foundational research is essential. 
</t>
  </si>
  <si>
    <t>U.S. Advanced Nuclear Energy Licensing Cost-Share Grant Program</t>
  </si>
  <si>
    <t>DOE-ID</t>
  </si>
  <si>
    <t>Idaho Field Office</t>
  </si>
  <si>
    <t>This NOFO will provide direct assistance for advanced reactor and supporting facilitiesâ€™ regulatory review activities by supporting cost-shared grants to fund a portion of Nuclear Regulatory Commission (NRC) fees for pre-application and application review activities. Cost-shared grants will be awarded to selected applicants seeking funds in support of work with the NRC to increase regulatory certainty, review topical reports or white papers, and other efforts focused on obtaining certification and licensing approvals.</t>
  </si>
  <si>
    <t>Street Medicine Interventions for People with HIV who are Unsheltered   Capacity Builder Provider (HRSA-25-055) and Street Medicine Interventions for People with HIV who are Unsheltered   Evaluation Provider (HRSA-25-057)</t>
  </si>
  <si>
    <t>Nonprofits having a 501(c)(3) status with the IRS, other than institutions of higher education These types of domestic* organizations may apply: Public institutions of higher education Private institutions of higher education Non-profits with or without a 501(c)(3) IRS status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</si>
  <si>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Capacity Building Provider (HRSA-25-055), the Demonstration Sites (HRSA-25-056), and the Evaluation Provider (HRSA-25-057) will collaborate to achieve the initiativeâ€™s goal and five objectives: Goal: Adapt, document, implement, evaluate, and disseminate street medicine interventions that effectively respond to the needs of people with HIV who are unsheltered. â€¢Objective 1: Build capacity of demonstration sites to effectively respond to the health care needs of people with HIV who are unsheltered. â€¢Objective 2: Achieve successful uptake and sustainability of adapted and implemented interventions by RWHAP recipient staff and clients. â€¢Objective 3: Conduct a rigorous multisite evaluation grounded in implementation science across demonstration sites. The evaluation will assess barriers and facilitators to implementation, implementation strategies, and cost, among other implementation, and client and services outcomes. Evaluation findings will be documented and shared throughout the initiative to support successful implementation. â€¢Objective 4: Develop and disseminate user-friendly, multimedia implementation materials that will serve as a tool for other RWHAP settings to replicate street medicine interventions and provide enhanced care and support for their clients. â€¢Objective 5: Use the Centers for Medicare and Medicaid (CMS) Place of Service Codes that reflect place where services are rendered. Street Medicine Overview As a client-centered service, street medicine is designed to bring the services offered in a clinic into the unsheltered spaces where people live, spend time, and congregate such as the streets and wooded areas. As described by subject matter experts globally, street medicine is conducted where people live and must include a change in traditional health care delivery structure to engage those unstably housed. Street medicine is not a new form of health care delivery. Rather, street medicine programs have existed for decades. These programs have demonstrated the ability to provide health care service in an effective manner, resulting in improved health outcomes. Street medicine programs may take a different approach to address components of delivering health care services than traditional health care settings. Some components are the safety, local and state regulations, and selection of services to offer people. Clinic-based and street medicine interventions have different approaches for assuring safety of the teams and clients because of the different environments and availability of resources in each setting. Local and state regulations may determine which health care services can be delivered in which setting and when. These components are important to understand and include in all street medicine programs. Health care delivered in traditional settings, such as a clinic or mobile unit, may not address the needs of those who experience rough sleeping or are unsheltered. Barriers such as facility hours of operation and policies related to entry (e.g., no pets, no carts, requirements for shirts and shoes) impact access to and retention in care. Stigma and discrimination may be other factors that prevent those with previous poor experiences in clinic-based settings who are unsheltered from entering traditional settings for health care. Because people who are rough sleepers or are unsheltered experience a combination of varied social determinants of health challenges, street medicine teams encounter populations with chronic disease co-morbidities, mental health and substance use disorders, and other structural factors requiring innovative approaches (see also Substance Abuse and Mental Health Services Administration (SAMHSA)â€™s 2023-2026 Strategic Plan). Based on the 2022 RWHAP Services Report, 5.2% of clients served were unstably housed with another 6.9% temporarily housed. Clients who were unstably housed had a viral suppression of 72.4% and people who were temporarily housed had a viral suppression of 84.1%, which is lower viral suppression than those who have stable housing. To end the HIV epidemic in the United States, strategies that tailor services to meet the needs of people who are not engaged in care or virally suppressed where they are located are required. Street medicine, as a form of health care delivery, can be an effective intervention to help RWHAP clients who are not well served by traditional health care delivery systems. Therefore, while street medicine focuses on those people who are unstably housed, it can also serve those who are averse to a traditional clinic building environment.</t>
  </si>
  <si>
    <t>Private institutions of higher education These types of domestic* organizations may apply:  Public institutions of higher education  Private institutions of higher education  Non-profits with or without a 501(c)(3) IRS status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</si>
  <si>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Capacity Building Provider (HRSA-25-055), the Demonstration Sites (HRSA-25-056), and the Evaluation Provider (HRSA-25-057) will collaborate to achieve the initiativeâ€™s goal and five objectives:
 Goal: Adapt, document, implement, evaluate, and disseminate street medicine interventions that effectively respond to the needs of people with HIV who are unsheltered.
 â€¢Objective 1: Build capacity of demonstration sites to effectively respond to the health care needs of people with HIV who are unsheltered.
 â€¢Objective 2: Achieve successful uptake and sustainability of adapted and implemented interventions by RWHAP recipient staff and clients.
 â€¢Objective 3: Conduct a rigorous multisite evaluation grounded in implementation science across demonstration sites. The evaluation will assess barriers and facilitators to implementation, implementation strategies, and cost, among other implementation, and client and services outcomes. Evaluation findings will be documented and shared throughout the initiative to support successful implementation.
 â€¢Objective 4: Develop and disseminate user-friendly, multimedia implementation materials that will serve as a tool for other RWHAP settings to replicate street medicine interventions and provide enhanced care and support for their clients.
 â€¢Objective 5: Use the Centers for Medicare and Medicaid (CMS) Place of Service Codes that reflect place where services are rendered.
 Street Medicine Overview
 As a client-centered service, street medicine is designed to bring the services offered in a clinic into the unsheltered spaces where people live, spend time, and congregate such as the streets and wooded areas. As described by subject matter experts globally, street medicine is conducted where people live and must include a change in traditional health care delivery structure to engage those unstably housed. Street medicine is not a new form of health care delivery. Rather, street medicine programs have existed for decades. These programs have demonstrated the ability to provide health care service in an effective manner, resulting in improved health outcomes.
 Street medicine programs may take a different approach to address components of delivering health care services than traditional health care settings. Some components are the safety, local and state regulations, and selection of services to offer people.
 Clinic-based and street medicine interventions have different approaches for assuring safety of the teams and clients because of the different environments and availability of resources in each setting. Local and state regulations may determine which health care services can be delivered in which setting and when. These components are important to understand and include in all street medicine programs.
 Health care delivered in traditional settings, such as a clinic or mobile unit, may not address the needs of those who experience rough sleeping or are unsheltered. Barriers such as facility hours of operation and policies related to entry (e.g., no pets, no carts, requirements for shirts and shoes) impact access to and retention in care. Stigma and discrimination may be other factors that prevent those with previous poor experiences in clinic-based settings who are unsheltered from entering traditional settings for health care.
 Because people who are rough sleepers or are unsheltered experience a combination of varied social determinants of health challenges, street medicine teams encounter populations with chronic disease co-morbidities, mental health and substance use disorders, and other structural factors requiring innovative approaches (see also Substance Abuse and Mental Health Services Administration (SAMHSA)â€™s 2023-2026 Strategic Plan).
 Based on the 2022 RWHAP Services Report, 5.2% of clients served were unstably housed with another 6.9% temporarily housed. Clients who were unstably housed had a viral suppression of 72.4% and people who were temporarily housed had a viral suppression of 84.1%, which is lower viral suppression than those who have stable housing. To end the HIV epidemic in the United States, strategies that tailor services to meet the needs of people who are not engaged in care or virally suppressed where they are located are required. Street medicine, as a form of health care delivery, can be an effective intervention to help RWHAP clients who are not well served by traditional health care delivery systems. Therefore, while street medicine focuses on those people who are unstably housed, it can also serve those who are averse to a traditional clinic building environment.</t>
  </si>
  <si>
    <t>Street Medicine Interventions for People with HIV who are Unsheltered - Demonstration Sites</t>
  </si>
  <si>
    <t>Native American tribal governments (Federally recognized) You can apply if you are eligible for funding under Ryan White HIV/AIDS Program Parts A - D of Title XXVI of the Public Health Service (PHS) Act. These entities include:Types of eligible organizationsThese types of domestic* organizations may apply:Public institutions of higher educationPrivate institutions of higher educationNon-profits with or without a 501(c)(3) IRS statusState, county, city, township, and special district governments, including the District of Columbia, domestic territories, and freely associated statesIndependent school districtsNative American tribal governmentsNative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</si>
  <si>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Capacity Building Provider (HRSA-25-055), the Demonstration Sites (HRSA-25-056), and the Evaluation Provider (HRSA-25-057) will collaborate to achieve the initiativeâ€™s goal and five objectives:
 Goal: Adapt, document, implement, evaluate, and disseminate street medicine interventions that effectively respond to the needs of people with HIV who are unsheltered.
 â€¢Objective 1: Build capacity of demonstration sites to effectively respond to the health care needs of people with HIV who are unsheltered.
 â€¢Objective 2: Achieve successful uptake and sustainability of adapted and implemented interventions by RWHAP recipient staff and clients.
 â€¢Objective 3: Conduct a high-quality, mixed methods, multi-site, implementation science evaluation, and cost analysis across demonstration sites.
 â€¢Objective 4: Develop and disseminate user-friendly, multimedia implementation materials that will serve as tools for RWHAP settings to replicate street medicine interventions and provide enhanced care and support for their clients.
 â€¢Objective 5: Use the Centers for Medicare and Medicaid (CMS) Place of Service Codes that reflect place where services are rendered.
 Street Medicine Overview
 As a client-centered service, street medicine is designed to bring the services offered in a clinic into the unsheltered spaces where people live, spend time, and congregate such as the streets and wooded areas. As described by subject matter experts globally, street medicine is conducted where people live and must include a change in traditional health care delivery structure to engage those unstably housed. Street medicine is not a new form of health care delivery. Rather, street medicine programs have existed for decades. These programs have demonstrated the ability to provide health care service in an effective manner, resulting in improved health outcomes.
 Street medicine programs may take a different approach to address components of delivering health care services than traditional health care settings. Some components are the safety, local and state regulations, and selection of services to offer people. Clinic-based and street medicine interventions have different approaches for assuring safety of the teams providing and clients receiving care due to the different environments and availability of resources in each setting. Local and state regulations may determine which health care services can be delivered in which setting and when.
 1. Review 2. Get Ready 3. Prepare 4. Learn 5. Submit 6. Award Contacts
 Step 1: Review the Opportunity 10
 These components are important to understand and include in all street medicine programs.
 Health care delivered in traditional settings, such as a clinic or mobile unit, may not address the needs of those who are unsheltered. Barriers such as facility hours of operation and policies related to entry (e.g., no pets, no carts, requirements for shirts and shoes) impact access to and retention in care. Stigma and discrimination may be other factors that prevent those with previous poor experiences in clinic-based settings who are unsheltered from entering traditional settings for health care.
 Because people who are rough sleepers or are unsheltered experience a combination of varied social determinants of health challenges, street medicine teams encounter populations with chronic disease co-morbidities, mental health, substance use disorders, and other structural factors requiring innovative, approaches (see also Substance Abuse and Mental Health Services Administration (SAMHSA)â€™s 2023-2026 Strategic Plan).
 Based on the 2022 RWHAP Services Report, 5.2% of clients served were unstably housed with another 6.9% temporarily housed. Clients who were unstably housed had a viral suppression of 72.4% and people who were temporarily housed had a viral suppression of 84.1%, which is a lower viral suppression than those who have stable housing. To end the HIV epidemic in the United States, strategies that tailor services to meet the needs of people who are not engaged in care or virally suppressed where they are located are required. Street medicine, as a form of health care delivery, can be an effective intervention to help RWHAP clients who are not well served by traditional health care delivery systems. Therefore, while street medicine focuses on those people who are unstably housed, it can also serve those who are averse to a traditional clinic building environment.</t>
  </si>
  <si>
    <t>Findable Accessible Interoperable Reusable Open Science</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</si>
  <si>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Other Federal Agencies and Federally Funded Research and Development Centers (FFRDCs): Prospective proposers from other Federal Agencies and FFRDCs, including NSF sponsored FFRDCs, must follow the guidance in PAPPG Chapter I.E.2 regarding limitations on eligibility.</t>
  </si>
  <si>
    <t>The FAIROS Program seeks to support a broad range of transformative open science activities including but not limited to Research, education, and socio-technical cyberinfrastructure development capacities that advance sustainable multi-disciplinary findable, accessible, interoperable, reusable (FAIR) research data management (RDM) and open science capabilities, Piloting new models of scientific communication and publication that improve efficiency and accessibility, Developing FAIROS data portals, research data commons, RDM as a national service, and Lowering barriers to accessing, curating, integrating, linking, managing, sharing, and storing data across many disciplinary domains, irrespective of data size.
The program supports innovation across the cyberinfrastructure (CI) ecosystem to address accessibility, data curation, research data management, discoverability, reliability, reproducibility, preservation, sustainability, and utility of research products, including data software, and code, developed as part of funded projects.
FAIROS proposals must select one of two tracks to focus on, either: 1) Disciplinary Improvements to targeted scientific communities, or Cross-Cutting Improvements that apply to many or most scientific disciplines. In the case of proposals focused on Disciplinary Improvements, it is strongly recommended that prospective PIs contact a program officer from the list of Cognizant Program Officers in the directorate closest to the major disciplinary impact of the proposed work to ascertain that the scientific focus and budget of the proposed work are appropriate for this solicitation. In the case of proposals focused on Cross-Cutting Improvements, it is strongly recommended that prospective PIs contact the cognizant program officer from the Office of Advanced Cyberinfrastructure (OAC).
After selecting either Disciplinary Improvements or Cross-Cutting Improvements in which to focus research, the proposal must include the kinds of activities relevant to the selected track. Standard research proposals are the only type of proposal accepted in response to this solicitation.
The FAIROS Program is undertaken in support of the US NSF Public Access Initiative.
For more information on the US NSF Public Access Initiative please visit https://new.nsf.gov/public-access.</t>
  </si>
  <si>
    <t>BJA FY25 Advancing Data in Corrections Initiative</t>
  </si>
  <si>
    <t>USDOJ-OJP-BJA</t>
  </si>
  <si>
    <t>Bureau of Justice Assistance</t>
  </si>
  <si>
    <t xml:space="preserve">Nonprofits that do not have a 501(c)(3) status with the IRS, other than institutions of higher education </t>
  </si>
  <si>
    <t>This funding opportunity seeks a training and technical assistance (TTA) provider to bolster state correctional agenciesâ€™ capacity to use data to inform policy and operational decision making through a combination of direct assistance, resources, and training. This initiative will provide both dedicated, agency-specific assistance via a cohort of embedded data analysts in up to ten correctional agencies for one year, as well as in-depth training and other resources for corrections analysts nationwide. Combined, these resources will help corrections leaders, staff, and stakeholders unlock the power of data to improve efficiency, effectiveness, and outcomes in corrections.</t>
  </si>
  <si>
    <t>Complement-ARIE New Approach Methodologies (NAMs) Data Hub and Coordinating Center (U24 Clinical Trial Optional)</t>
  </si>
  <si>
    <t>Others (see text field entitled "Additional Information on Eligibility" for clarification)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</si>
  <si>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notice of funding opportunity (NOFO) invites applications from eligible organizations to establish the New Approach Methodologies (NAMs) Data Hub and Coordinating Center (NDHCC) for the NIH Common Fund Complement Animal Research In Experimentation (Complement-ARIE) program. The goal of Complement-ARIE is to implement better models for understanding human health and disease outcomes across diverse populations that complement traditional models and make biomedical research more efficient and effective.  The award made through this announcement will support Complement-ARIE by providing a centralized data hub, building a searchable repository for various NAMs data types, establishing standards for data reporting and model credibility, developing and implementing an Integrated Testing Strategies (ITS), developing strategies for interoperability, sustainability data reuse, and developing tools for data analytics, dissemination, and sharing. The awardee will also serve as the coordinating center for the overall Complement-ARIE program.</t>
  </si>
  <si>
    <t>NEI Translational Research Program for Therapeutics (R61/R33 Clinical Trial Not Allowed)</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</si>
  <si>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</si>
  <si>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The purpose of this Notice of Funding Opportunity (NOFO) is the rapid and efficient translation of innovative laboratory research findings into therapeutics for use by clinicians to treat visual system diseases or disorders. Multidisciplinary teams of scientists and clinicians must focus on generating preclinical data that will lead to the development of biological, pharmacological, medical device and/or combination product interventions. The ultimate goal of this program is to make new technological, biological and pharmacological resources available to clinicians and their patients.
The steps towards this goal should be clearly delineated in a series of milestones that support the development of a therapeutic or device that will lead to an Investigational New Drug (IND) or Investigational Device Exception (IDE) application to the U.S. Food and Drug Administration (FDA) and/or testing in a clinical trial.
This NOFO will utilize a bi-phasic, milestone-driven mechanism of award. The R61 phase will support research that has demonstrated significant preliminary data but has not advanced to the level of clinical translation.  The R33 phase will support research that is in the final states of preclinical development with potential for near-term clinical development.  Support for a single phased award that does not need the R61 Exploratory phase is available in the companion R33, PAR-23-205.</t>
  </si>
  <si>
    <t>NEI Translational Research Program for Therapeutics (R33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</si>
  <si>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</si>
  <si>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The purpose of this NOFO is the rapid and efficient translation of innovative laboratory research findings into therapeutics for use by clinicians to treat visual system diseases or disorders. Multidisciplinary teams of scientists and clinicians must focus on generating preclinical data that will lead to the development of biological, pharmacological, medical device and/or combination product interventions. The ultimate goal of this program is to make new technological, biological and pharmacological resources available to clinicians and their patients.
The steps towards this goal should be clearly delineated in a series of milestones that support the development of a therapeutic or device that will lead to an Investigational New Drug (IND) or Investigational Device Exception (IDE) application to the U.S. Food and Drug Administration (FDA) and/or testing in a clinical trial.
The R33 is to focus on advancing a single therapeutic candidate through IND/IDE -enabling studies, filing an IND package with the FDA, and designing future clinical trials.  Applicants pursuing early stage applied research should consider the companion (R61/R33) NOFO PA-23-XXX.</t>
  </si>
  <si>
    <t>U.S. and Foreign Commercial Service Pilot Fellowship Program</t>
  </si>
  <si>
    <t>DOC-ITA</t>
  </si>
  <si>
    <t>International Trade Administration</t>
  </si>
  <si>
    <t xml:space="preserve">Private institutions of higher education </t>
  </si>
  <si>
    <t>The U.S. and Foreign Commercial Service Pilot Fellowship Program provides outstanding candidates entering graduate school an up to eight-week overseas internship at a U.S. embassy, consulate, or mission. Recipients of the U.S. and Foreign Commercial Service Pilot Fellowship will be required to participate in a mandatory one-week Office of Global Talent Management Orientation and Training in June of 2026.</t>
  </si>
  <si>
    <t>Office of Career, Technical, and Adult Education (OCTAE): Native American Career and Technical Education Program (NACTEP) Assistance Listing Number 84.101A</t>
  </si>
  <si>
    <t>Others (see text field entitled "Additional Information on Eligibility" for clarification) 1. Eligible Applicants:(a) The following entities are eligible to apply under this competition:(1) A federally recognized Indian Tribe.(2) A Tribal organization.(3) An Alaska Native entity.(4) A Bureau-funded school, except for a Bureau-funded school proposing to use its award to support general education secondary school programs.(b) Any Tribe, Tribal organization, Alaska Native entity, or eligible Bureau-funded school may apply individually or as part of a consortium with one or more eligible Tribes, Tribal organizations, Alaska Native entities, or eligible Bureau-funded schools. (Eligible applicants seeking to apply for funds as a consortium must meet the requirements in 34 CFR 75.127 through 75.129, which apply to group applications.)Note:A Tribal college or university may apply as a Tribal organization if it meets the criteria set forth in the definition of a Tribal organization, above.Note:If you are a nonprofit organization, under 34 CFR 75.51, you may demonstrate your nonprofit status by providing: (1) proof that the Internal Revenue Service currently recognizes the applicant as an organization to which contributions are tax deductible under section 501(c)(3) of the Internal Revenue Code; (2) a statement from a State taxing body or the State attorney general certifying that the organization is a nonprofit organization operating within the State and that no part of its net earnings may lawfully benefit any private shareholder or individual; (3) a certified copy of the applicant's certificate of incorporation or similar document if it clearly establishes the nonprofit status of the applicant; or (4) any item described above if that item applies to a State or national parent organization, together with a statement by the State or parent organization that the applicant is a local nonprofit affiliate.</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</si>
  <si>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Common Instructions for Applicants to Department of Education Discretionary Grant Programs, published in the Federal Register on December 7, 2022 (87 FR 75045), and available at www.federalregister.gov/â€‹documents/â€‹2022/â€‹12/â€‹07/â€‹2022-26554/â€‹common-instructions-for-applicants-to-department-of-education-discretionary-grant-programs.
ï»¿Purpose of Program: NACTEP provides grants to improve career and technical education (CTE) programs that are consistent with the purposes of the Carl D. Perkins Career and Technical Education Act of 2006 (the Act or Perkins V), and that benefit Native Americans and Alaska Natives.</t>
  </si>
  <si>
    <t>BJA FY25 Byrne State Crisis Intervention Training and Technical Assistance Program</t>
  </si>
  <si>
    <t>Nonprofits having a 501(c)(3) status with the IRS, other than institutions of higher education Public, state and private institutions of higher education (including tribal institutions of higher education) that have expertise and experience in managing training and technical assistance (TTA) for evidence-based criminal justice programs.</t>
  </si>
  <si>
    <t>This funding opportunity seeks to support training and technical assistance (TTA) providers to support grantees funded through the FY22â€“23 and FY24 Byrne State Crisis Intervention Program (SCIP) Formula NOFOs as well as future Byrne SCIP Formula NOFOs. The companion NOFO provides funding to states and subrecipients for implementation of state crisis intervention court proceedings and gun violence reduction programs/initiatives. In addition, this TTA program will also support recipients of the Edward Byrne Memorial Justice Assistance Grant (JAG) Program, as the Bipartisan Safer Communities Act modified the JAG Program authorizing statute to include a program area for the implementation of state crisis intervention court proceedings and related programs or initiatives, including but not limited to mental health courts, treatment courts, veterans courts, and extreme risk protection order programs, and it added a reporting and evaluation component for grants awarded under the Byrne SCIP programs or initiatives.</t>
  </si>
  <si>
    <t>Rehabilitation Engineering Research Centers (RERC) Program: RERC on Communication Technologies</t>
  </si>
  <si>
    <t>Private institutions of higher education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</si>
  <si>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RERC program is to improve the effectiveness of services authorized under the Rehabilitation Act by conducting advanced engineering research on and development of innovative technologies that are designed to solve particular rehabilitation problems or to remove environmental barriers. RERCs also demonstrate and evaluate such technologies, facilitate service delivery system changes, stimulate the production and distribution of new technologies and equipment in the private sector, and provide training opportunities. Under this particular RERC priority, the grantee must conduct research and development activities toward new technologies and products that facilitate communication among people with disabilities who cannot rely on speech alone to be heard and understood. This grant will have a 60-month project period, with five 12-month budget periods.</t>
  </si>
  <si>
    <t>Distance Learning and Telemedicine Grants</t>
  </si>
  <si>
    <t>USDA-RUS</t>
  </si>
  <si>
    <t>Rural Utilities Service</t>
  </si>
  <si>
    <t>Authorized by 7 U.S.C. 950aaa, the DLT Program provides financial assistance to enable and improve distance learning and telemedicine services in rural areas. DLT grant funds support the use of telecommunications-enabled information, audio and video equipment, and related advanced technologies by students, teachers, medical professionals, and rural residents. These grants are intended to increase rural access to education, training, and health care resources that are otherwise unavailable or limited in scope.The regulation for the DLT Program can be found at 7 CFR part 1734. All applicants should carefully review and prepare their applications according to instructions in the FY 2025 DLT Grant Program Application Guide (Application Guide) and program resources. This Application Guide will be made available here and on the program website at https://www.rd.usda.gov/programs-services/distance-learning-telemedicine-grants. Expenses incurred in developing applications will be at the applicantâ€™s own risk.</t>
  </si>
  <si>
    <t>Fiscal Year 2024 Flood Mitigation Assistance</t>
  </si>
  <si>
    <t>DHS-DHS</t>
  </si>
  <si>
    <t>Department of Homeland Security - FEMA</t>
  </si>
  <si>
    <t>Others (see text field entitled "Additional Information on Eligibility" for clarification)  States_x000D_
 District of Columbia_x000D_
 U.S. territories_x000D_
 Federally recognized Tribal governments</t>
  </si>
  <si>
    <t>The Flood Mitigation Assistance (FMA) grant program makes federal funds available to states, U.S. territories, federally recognized tribal governments,1 and local governments to reduce or eliminate the risk of repetitive flood damage to buildings and structures insured under the National Flood Insurance Program (NFIP), and within NFIP-participating communities. It does so with a recognition of the growing flood hazards associated with climate change,2 and of the need for flood hazard risk mitigation activities that promote climate adaptation, equity, and resilience with respect to flooding. These include both acute extreme weather events and chronic stressors which have been observed and are expected to increase in intensity and frequency in the future. From Fiscal Year (FY) 1996 to FY 2019, FMA obligated over $1.5 billion in federal cost share mitigating over 8,000 properties insured by the NFIP.  Projects or initiatives that are eligible for funding under this announcement may or may not involve Geospatial (GIS) issues Applicants can submit applications for this funding opportunity through FEMA Grants Outcomes (GO). Access the system at https://go.fema.gov/</t>
  </si>
  <si>
    <t>Strengthening Vaccine-Preventable Disease Prevention and Response</t>
  </si>
  <si>
    <t>HHS-CDC-NCIRD</t>
  </si>
  <si>
    <t>Centers for Disease Control - NCIRD</t>
  </si>
  <si>
    <t>Others (see text field entitled "Additional Information on Eligibility" for clarification) Applicants must meet certain population thresholds as described here. This strategy allows ISD to reach the greatest number of people while balancing the need for direct support to some of the largest cities in the United States. Eligible applicants include:  The 51 state health departments or their bona fide agents, including the District of Columbia.   Local health agencies or their bona fide agents, if they serve a city population* of 1.4 million or more (i.e., Chicago, Houston, New York City, Philadelphia, San Antonio).   If the city does not have a public health department, then the county covering the jurisdiction may apply (i.e., Los Angeles, CA covered by Los Angeles County and Phoenix, AZ covered by Maricopa County).   All U.S. territories and the Freely Associated States in the Caribbean and Pacific (American Samoa, Commonwealth of the Northern Mariana Islands, Guam, Puerto Rico, the U.S. Virgin Islands, the Freely Associated States of the Federated States of Micronesia, Republic of Palau, and Republic of the Marshall Islands). Note: The Freely Associated States do not participate in the Vaccines for Children Program.*Population for city jurisdictions. Source: U.S. Census Bureau, 2022 American Community Survey 5-Year Data (2018 - 2022) - Table S0101.</t>
  </si>
  <si>
    <t>CDCâ€™s Immunization Services Division (ISD) Notice of Funding Opportunity (NOFO) continues and builds upon the ongoing work of the Section 317 and Vaccines for Children (VFC) Programs. These programs remain central to the U.S. immunization program infrastructure to achieve high vaccination coverage, low incidence of vaccine-preventable disease (VPD) and maintain or improve response to vaccine-preventable public health threats. The VFC Program provides vaccines to children whose parents or guardians may not be able to afford them. Serving as an important contributor to health equity, the program helps support fair and just opportunities for all children to get their recommended vaccinations on schedule and achieve their highest level of health. Section 317 of the Public Health Service Act helps meet the costs of prevention health services, and 317 priorities include preserving immunization infrastructure, maintaining vaccine supply as a safety net for uninsured adults, and responding to VPD outbreaks. Activities in this funding opportunity are included within the following seven priority strategies. â€¢ Strengthen Program Infrastructure and Management. â€¢ Increase Vaccine Access. â€¢ Improve Vaccination Equity. â€¢ Promote Vaccine Confidence and Demand. â€¢ Enhance Data and Evaluation.There are three components in this NOFO, and you are required to apply to all three components. â€¢ Component 1: Core. â€¢ Component 2: Rapid small-scale response to VPD outbreaks or other public health emergencies (funded). â€¢ Component 3: Rapid large-scale response to VPD outbreaks or other public health emergencies (approved but unfunded).</t>
  </si>
  <si>
    <t>Fiscal Year 2024 Building Resilient Infrastructure and Communities (BRIC)</t>
  </si>
  <si>
    <t>City or township governments District of Columbia; U.S. Territories. _x000D_
Local governments must apply through their state or territory.</t>
  </si>
  <si>
    <t>The Building Resilient Infrastructure and Communities (BRIC) grant program makes federal funds available to states, U.S. territories, federally recognized tribal governments , and local governments for hazard mitigation activities. It does so recognizing the growing hazards associated with climate change , and the need for natural hazard risk mitigation activities that promote climate adaptation and resilience with respect to those hazards. These include both acute extreme weather events and chronic stressors which have been observed and are expected to increase in intensity and frequency in the future. The BRIC programâ€™s guiding principles include supporting communities through capability and capacity-building; encouraging and enabling innovation, including multi-hazard resilience or nature-based solutions including the use of native plants; promoting partnerships; enabling large, systems-based projects; maintaining flexibility; and providing consistency. Through these efforts communities are able to better understand disaster risk and vulnerabilities, conduct community-driven resilience, hazard mitigation planning, and design transformational projects and programs.  Awards made under this funding opportunity are funded, in whole or in part, by the Infrastructure Investment and Jobs Act, more commonly known as the Bipartisan Infrastructure Law (BIL). The BIL is a once-in-a-generation investment in infrastructure, which will grow a more sustainable, resilient, and equitable economy by enhancing U.S. competitiveness. The BIL appropriates billions of dollars to FEMA to promote resilient infrastructure, respond to the impacts of climate change, and equip our nation with the resources to combat its most pressing threats. In doing so, FEMA encourages investmen of these funds toward projects that are implemented using Good Jobs Principles to expand the availability of good, family-sustaining jobs with the free and fair opportunity to join a union for all Americans. FEMA recommends applicants design projects that are aligned with The Good Jobs Prinicples, a description of the elements of a Good Job that has informed the investment of billions of dollars through the Biden-Harris Administration's Invest in America Agenda.   FEMA will provide financial assistance to eligible BRIC applicants for the following activities:  â€¢ Capability and Capacity-Building activities â€“ activities that enhance the knowledge, skills, and expertise of the current workforce to expand or improve the administration of mitigation assistance. This includes activities in the following sub-categories: building codes, partnerships, project scoping, hazard mitigation planning and planning-related activities, and other activities; â€¢ Hazard Mitigation Projects â€“ cost-effective mitigation projects designed to increase resilience and public safety; reduce injuries and loss of life; and reduce damage and destruction to property, critical services, facilities, and infrastructure (including natural systems) from a multitude of natural hazards, including drought, wildfire, earthquakes, extreme heat, and the effects of climate change; and  â€¢ Management Costs â€“ financial assistance to reimburse the recipient and subrecipient for eligible and reasonable indirect costs, direct administrative costs, and other administrative expenses associated with a specific mitigation measure or project. Applicants can submit applications for this funding opportunity through FEMA Grants Outcomes (GO). Access the system at https://go.fema.gov/</t>
  </si>
  <si>
    <t>USAID/West Bank and Gaza: People-to-People Partnership for Peace Fund Grants Activity</t>
  </si>
  <si>
    <t>USAID-WES</t>
  </si>
  <si>
    <t>West Bank, Gaza USAID-West Bank</t>
  </si>
  <si>
    <t>Others (see text field entitled "Additional Information on Eligibility" for clarification) Qualified U.S. or non-U.S. organizations, non-profit, or for-profit entities may apply for funding under this APS. To be eligible, all entities must be legally registered entities under applicable law and eligible under the relevant laws to receive funding from USAID. Individuals, unregistered, or informal organizations are not considered eligible applicants.</t>
  </si>
  <si>
    <t xml:space="preserve">Congress enacted the Nita M. Lowey Middle East Partnership for Peace Act (MEPPA) in December 2020 to advance peaceful co-existence between Israelis and Palestinians and enable a sustainable two-state solution. MEPPA establishes two funds and authorizes up to $250 million over five years for programs to be implemented through the United States Agency for International Development (USAID) and the U.S. International Development Finance Corporation (DFC). 
This APS seeks to engage people directly affected by the ongoing Israeli-Palestinian conflict and invites applicants to approach peacebuilding with a greater focus on reconciliation, advocacy, dialogue among groups with diverse views, and healing.
Goal:
The overall goal of MEPPA is to build the foundation for peaceful co-existence between Israelis and Palestinians and enable a sustainable two-state solution. Working toward that vision, this funding opportunity seeks to strengthen people-to-people grassroots linkages to address common challenges and enhance peacebuilding momentum to affect institutional and policy change. 
ï»¿Objectives:
This funding opportunity for the MEPPA People-to-People Partnership for Peace Fund Grants Activity aims to achieve the following objectives: 
 Increase partnership between Palestinians and Israelis, and Arab and Jewish Israelis, to address issues of common interest or concern.
 Bolster efforts by Palestinians and Israelis to address internal divisions that must be overcome to foster peaceful coexistence.
 Improve the enabling environment for cross-border partnership, particularly in development sectors, such that policies, procedures, and structures allow Palestinians and Israelis to engage in meaningful interactions across sectors without any barriers and fear of intimidation. 
 Strengthen the resilience of peacebuilding constituencies and institutions. 
</t>
  </si>
  <si>
    <t>Cybersecurity Innovation for Cyberinfrastructure</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</si>
  <si>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</si>
  <si>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The objective of the Cybersecurity Innovation for Cyberinfrastructure (CICI) program is to advance scientific discovery and innovation by enhancing the security and privacy of cyberinfrastructure. CICI supports efforts to develop, deploy and integrate cybersecurity that will benefit the broader scientific community by securing science data, computation, collaborations workflows, and infrastructure. CICI recognizes the unique nature of modern, complex, data-driven, distributed, rapid, and collaborative science and the breadth of infrastructure and requirements across scientific disciplines, practitioners, researchers, and projects. CICI seeks proposals in four program areas:
1. Usable and Collaborative Security for Science (UCSS): Projects in this program area should support novel and/or applied security and usability research that facilitates scientific collaboration, encourages the adoption of security into the scientific workflow, and helps create a holistic, integrated security environment that spans the entire scientific cyberinfrastructure ecosystem.
2. Reference Scientific Security Datasets (RSSD): Projects in this program area should leverage instrumented cyberinfrastructure to capture metadata from scientific workflows and workloads as reference data artifacts that can help support reproducible security research, testing and evaluation.
3. Transition to Cyberinfrastructure Resilience (TCR): Projects in this program area should improve the robustness, trustworthiness, integrity, and/or resilience of scientific cyberinfrastructure through testing, evaluation, hardening, validation, and technology transition of novel cybersecurity research. The TCR area further encourages transition activities that advance the deployment and use of reproducibility in CI, workflows, and data.
4. Integrity, Provenance, and Authenticity for Artificial Intelligence Ready Data (IPAAI): Projects in this program area should enhance confidence and reproducibility in AI produced scientific results by improving the integrity, provenance, and authenticity of scientific datasets used by Artificial Intelligence systems.</t>
  </si>
  <si>
    <t>NUCLEAR SCIENCE AND ENGINEERING CONSORTIUM  FOR NONPROLIFERATION</t>
  </si>
  <si>
    <t>DOE-NNSA</t>
  </si>
  <si>
    <t>NNSA</t>
  </si>
  <si>
    <t>Public and State controlled institutions of higher education The following types of Higher Education Institutions are always encouraged to apply for NNSA support as Public or Private Institutions of Higher Education: Hispanic-serving Institutions; Historically Black Colleges and Universities (HBCUs); Tribally Controlled Colleges and Universities (TCCUs); Alaska Native and Native Hawaiian Serving Institutions</t>
  </si>
  <si>
    <t>The U.S. Department of Energy, National Nuclear Security Administration (DOE/NNSA), Office of Defense Nuclear Nonproliferation Research and Development (DNN R D) drives innovative research that develops technologies and expertise to detect foreign nuclear proliferation activities and produces technologies for integration into operational systems by leveraging capabilities at the DOE National Laboratories, Plants, and Other Field Sites, as well as at universities and within private industry. DNN R D supports U.S. nuclear security objectives to reduce global nuclear security threats through the innovation of unilateral and multi-lateral technical capabilities to detect, identify, and characterize: 1) Foreign nuclear weapons development activities; 2) Illicit diversion of special nuclear materials; and 3) Nuclear explosions globally. Additionally, DNN R D sustains and develops foundational nonproliferation technical capabilities by providing targeted, long-term support for enabling infrastructure, science and technology, and an expert workforce.For DNN R D, the role of Institutions of Higher Education (as defined in Section III) is to innovate, develop, and prove some of the most challenging basic aspects of new technology and methods in coordination with the DOE National Laboratories, which can in turn fulfill their unique role to perform mission-specific research and development that improves on capabilities until they are either adopted by operational enterprises or transitioned into private industry for commercialization. Transparency and effectively linking the roles of these Institutions of Higher Education (IHEs) and DOE National Laboratories represents the core of how DNN R D proposes to meet its objectives.The primary purpose of this opportunity is to direct-fund basic research at universities that complements applied research in nuclear nonproliferation at the DOE National Laboratories. This includes foundational disciplines of nuclear physics, science and engineering, radiation detection, nuclear material science, radiochemistry, and mass spectrometry. A secondary benefit to this research is the development of a diverse and highly talented cadre of technical professionals, including as scientists, engineers, technicians, and operational personnel, who become the next generation of technical leaders in nuclear missions, such as nonproliferation, arms control, incident response, intelligence, and energy. These professionals are expected to primarily benefit the DOE National Laboratories as future research staff but will also benefit academia, private industry, and U.S. government agencies, including Energy, State, Defense, Homeland Security, Justice, and the Intelligence Community.The intent of this NOFO is to award one (1) five-year cooperative agreement to a consortium consisting of accredited IHEs to provide the opportunity to receive and administer Federal financial assistance funds for student and faculty research, fellowships, and scholarship funding awarded by DOE/NNSA, DNN R D. The envisioned cooperative agreement will be awarded to a consortium of IHEs which will include the participation of DOE National Laboratories as consortium-member(s). Individual IHEs consortium-member shall make specific contributions and shall receive specified portions of the funding. The consortium may include student and research fellows and must have a long-term objective of building expertise in scientific disciplines directly relevant to nuclear nonproliferation.</t>
  </si>
  <si>
    <t>2025 Preservation Technology and Training Cooperative Agreements</t>
  </si>
  <si>
    <t>DOI-NPS</t>
  </si>
  <si>
    <t>National Park Service</t>
  </si>
  <si>
    <t>City or township governments In accordance with 54 U.S.C.   305305(b) this funding opportunity is limited to cooperative agreements with Federal, State, local, and tribal governments, Native Hawaiian organizations, educational institutions, and other public entities to carry out the Center's responsibilities.</t>
  </si>
  <si>
    <t>The Cultural Resource Focused Preservation Technology and Training (PTT) cooperative agreements are administered by the National Center for Preservation Technology and Training (NCPTT), the National Park Serviceâ€™s innovation center for the preservation community. The 2025 PTT cooperative agreements are intended for cultural resource projects which will create better tools, better materials, and better approaches to conserving buildings, landscapes, and cultural resources. The cooperative agreements should be seen as pushing the cultural resource field of preservation forward and any application should be innovative in nature and on the cutting edge of preservation practice. The cooperative agreement scope should showcase a new model of preservation practice and be able to be disseminated to the broadest audience and impact national, regional, and/or local preservation organizations.In accordance with 54 U.S.C. Â§ 305305(b) this funding opportunity is limited to cooperative agreements with Federal, State, local, and tribal governments, Native Hawaiian organizations, educational institutions, and other public entities to carry out the Center's responsibilities.</t>
  </si>
  <si>
    <t>Collaborations in Artificial Intelligence and Geosciences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</si>
  <si>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Other Federal Agencies and Federally Funded Research and Development Centers (FFRDCs): Prospective proposers from Other Federal Agencies and FFRDCs, including NSF sponsored FFRDCs, must follow the guidance in PAPPG Chapter I.E.2 regarding limitations on eligibility.</t>
  </si>
  <si>
    <t>The Collaborations in Artificial Intelligence and Geosciences (CAIG) program seeks to advance the development and adoption of innovative artificial intelligence (AI) methods to increase scientific understanding of the Earth system. The program supports projects that advance AI techniques and/or innovative uses of sophisticated or novel AI methods to enable significant breakthroughs in addressing geoscience research question(s) by building partnerships between experts in AI and Geosciences. The key characteristic of a CAIG project is its potential to both answer important geoscience questions and improve AI techniques while also bringing together experts from both the AI and geoscience fields.</t>
  </si>
  <si>
    <t>FY2025 ABPP - Preservation Planning Grants</t>
  </si>
  <si>
    <t>Public and State controlled institutions of higher education 1) Alaska Native corporations2) Native American tribal-controlled colleges and universities3) Native Hawaiian Community institutions and Native Hawaiian organizationsEligible Sites Eligible project proposals must contribute to the preservation of one or more historic places associated with an armed conflict on American soil. NPS ABPP defines  American soil  as authorized under 54 U.S.C.   300317, as the 50 States, District of Columbia, U.S. Territories (Puerto Rico, Guam, American Samoa, the Virgin Islands, and the Northern Mariana Islands), and Freely Associated States (Republic of the Marshall Islands, the Federated States of Micronesia, and the Republic of Palau), and  armed conflicts  as periods of collective violence that are characterized by specific events and bounded in time (example: the Battle of Harlem Heights or the Sand Creek massacre), rather than broad cross-cutting themes throughout American history. Historic places associated with armed conflicts may include battlefields or associated sites that fall under one of the following themes:Military - sites directly associated with military forces on land or sea.Government, Law, Politics, and Diplomacy - sites associated with decision-making, policy creation, political process, and diplomatic relations during periods of armed conflict.Intellectual History - sites associated with the publication or propagation of ideas and values that influenced the social, political, economic, and military actions and policies during periods of armed conflictEconomics of War - sites associated with economic activities that contributed to battle, fighting, or war effortsSociety - sites associated with home front, civilian conduct during periods of armed conflictTransportation - Sites associated with moving people, goods, and information during periods of armed conflictEligible Activities Preservation Planning Grants may not be used for the acquisition of property or services to the direct benefit of the Federal government but may under some circumstances include sites controlled by the Federal government in research and other non-mission oriented (legislated) projects. Applicants working in partnership with units of the Federal government, or including sites under the control of the Federal government in their project proposals,</t>
  </si>
  <si>
    <t>Administered by the National Park Service through the American Battlefield Protection Program (NPS ABPP), Preservation Planning Grants support a variety of projects that contribute to the preservation and interpretation of historic battlefields and associated sites of armed conflict on American soil by providing financial assistance to eligible applicants based on the outcome of a competitive merit review process. These grants are funded by direct appropriation from the U.S. Congress and are authorized under 54 U.S.C. Â§ 308102.Due to the large number of activities that the Preservation Planning Grants may fund, applicants are encouraged to reach out to NPS ABPP directly with any questions about potential project eligibility at abpp_ppg@nps.gov.</t>
  </si>
  <si>
    <t>U.S. Consulate General, Lagos PD 2025 Annual Program Statement</t>
  </si>
  <si>
    <t>DOS-NGA</t>
  </si>
  <si>
    <t>U.S. Mission to Nigeria</t>
  </si>
  <si>
    <t>Others (see text field entitled "Additional Information on Eligibility" for clarification) The following registered U.S. and Nigerian organizations and individuals are eligible to apply:   _x000D_
 	U.S. and Nigerian registered not-for-profit organizations, including think tanks and civil society/non-governmental organizations _x000D_
 	Public and private educational and cultural institutions_x000D_
 	Governmental institutions_x000D_
_x000D_
For-profit or commercial entities are NOT eligible to apply</t>
  </si>
  <si>
    <t>Public Diplomacy Section of the U.S. Consulate General Lagos invites proposals for projects that strengthen the connections between the people of the United States and the people of Nigeria through projects highlighting our shared goals and values. All programs MUST include an American component, some examples include American expert engagement (in person or virtual), American cultural celebrations and icons, U.S. training curriculum, and use of American Spaces materials. Projects that incorporate strong American components into their design will be prioritized over other proposals. The U.S. Consulate General Lagos of the U.S. Department of State is pleased to announce that funding is available through its Public Diplomacy Small Grants Program. This is an Annual Program Statement, outlining our funding priorities, the strategic themes we focus on, and the procedures for submitting requests for funding. Please carefully follow all instructions.</t>
  </si>
  <si>
    <t>FY2025 NAGPRA Consultation/Documentation Grants</t>
  </si>
  <si>
    <t>State governments The following entities are eligible to apply for a NAGPRA Consultation/Documentation grant:An Indian Tribe or Native Hawaiian OrganizationIndian Tribe is defined at 43 CFR 10.2. The Bureau of Indian Affairs  list of Federally recognized tribes is available at www.bia.gov. Native Hawaiian organization (NHO) is defined at 43 CFR 10.2.A Museum within the United States.Museum and United States are defined at 43 CFR 10.2. A museum is eligible to apply for a grant only if it has complied with the requirements of NAGPRA (25 U.S.C. 3001-3013) and the implementing regulations (43 CFR part 10) at the time it applies for the grant. Federal agencies and the Smithsonian Institution may not apply for grants.Any applicant who previously received a NAGPRA grant but did not meet the conditions of the grant agreement, including reports or statement of work, may be penalized in the review process.Excluded Parties: NPS conducts a review of the SAM.gov Exclusions database for all applicant entities and their key project personnel prior to award. The NPS cannot award funds to entities or their key project personnel identified in the SAM.gov Exclusions database as ineligible, prohibited/restricted, or otherwise excluded from receiving Federal contracts, certain subcontracts, and certain Federal assistance and benefits, as their ineligibility condition applies to this Federal program.</t>
  </si>
  <si>
    <t>The Native American Graves Protection and Repatriation Act of 1990 authorizes the Secretary of the Interior to make grants to museums, Indian Tribes, and Native Hawaiian organizations for the purposes of assisting in consultation, documentation, and repatriation of Native American human remains, funerary objects, sacred objects, and objects of cultural patrimony (25 U.S.C. 3008). NAGPRA Consultation and Documentation grants assist museums, Indian Tribes, and NHOs to undertake projects leading to the repatriation of Native American human remains or cultural items. Project activities may include, but are not limited to:Â· Consultation,Â· Training and Conferences,Â· Coalitions and Partnerships,Â· Duty of Care, orÂ· Other projects. Grant funds must be used for CONSULTATION and/or DOCUMENTATION projects under NAGPRA. Consultation projects support efforts related to determinations of cultural affiliation and making or responding to requests for repatriation. Documentation projects support determining the geographical origin, cultural affiliation, and other basic facts surrounding the acquisition of Native American human remains or cultural items. Consultation and documentation projects should lead to determining control, treatment, and repatriation of NAGPRA human remains or cultural items.</t>
  </si>
  <si>
    <t>Rehabilitation Research and Training Center (RRTC) On Employment Among People Who are Blind or Have Low Vision</t>
  </si>
  <si>
    <t>Nonprofits that do not have a 501(c)(3) status with the IRS, other than institutions of higher education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</si>
  <si>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RRTCs is to achieve the goals of, and improve the effectiveness of, services authorized under the Rehabilitation Act through well-designed research, training, technical assistance, and dissemination activities in important topical areas as specified by NIDILRR.  The purpose of this particular RRTC is to conduct research, training, technical assistance, and related activities to contribute to positive employment outcomes among individuals who are blind or have low vision. NIDILRR plans to make one grant under this opportunity. The grant will have a 60-month project period, with five 12-month budget periods.</t>
  </si>
  <si>
    <t>U.S. Embassy Managua Public Diplomacy Section Alumni Small Grants Competition</t>
  </si>
  <si>
    <t>Others (see text field entitled "Additional Information on Eligibility" for clarification)  	Alumni or alumni associations of U.S. government- sponsored exchange programs 	Projects teams that include more than one alum.  Alumni teams may be comprised of alumni from different exchange programs.</t>
  </si>
  <si>
    <t>U.S. Embassy Managua of the U.S. Department of State announces an open competition for alumni of U.S. government-sponsored and facilitated exchange programs to submit a statement of interest (SOI) for funding to carry out a project that advances U.S. public diplomacy priorities and reinforces ties between the people of the United States and Nicaragua. Please carefully follow all instructions below.
The submission of the SOI is the first step in a two-step process. Applicants must first submit a concise 1-3 page statement of interest designed to clearly communicate projects idea and objectives. This is not a full proposal and will not result in a federal assistance award at this step.
The purpose of the SOI process is to allow applicants to submit project ideas for evaluation prior to requiring the development of a full proposal application. Upon a merit review of eligible SOIs, selected applicants will be invited to expand on their project idea(s) by submitting a full proposal application. Full proposals will go through a second merit review before final funding decision(s) are made. 
Please click on the "Related Documents" tab to download the full announcement and sample Statement of Interest form. Completed Statement of Interest forms should be submitted to PASManagua@state.gov with the subject header "Alumni Small Grants Competition SOI [PROJECT NAME]."</t>
  </si>
  <si>
    <t>Rural Decentralized Water System Grant Program</t>
  </si>
  <si>
    <t>Others (see text field entitled "Additional Information on Eligibility" for clarification) Information on eligibility is available at this website: https://www.rd.usda.gov/programs-services/water-environmental-programs/rural-decentralized-water-systems-grant-program</t>
  </si>
  <si>
    <t>The DWS Grant Program has been established to help individuals with low to moderate incomes finance certain costs of household water wells and individually owned decentralized wastewater systems that they own or will own. Grants are made to eligible nonprofit organizations to establish and maintain a revolving fund to provide loans and sub-grants to eligible individuals for individually owned water well systems and/or individually owned wastewater systems. Loan and/or sub-grant funds may be used by the individual to construct, refurbish, rehabilitate, or replace decentralized water well or wastewater systems. For water well systems, funds may be used up to the point of entry to a home, which is the junction where water enters into a home water delivery system after being pumped from a well. For wastewater systems, in lieu of the point of entry, the point of exit is substituted. The point of exit is the junction where wastewater exits out of the home wastewater collection system into the septic tank and drain field. DWS grant funds may be used by the nonprofit recipient to pay administrative expenses associated with providing DWS loans and/or sub-grants.</t>
  </si>
  <si>
    <t>NSF/CASIS Transport Phenomena Research at the International Space Station to Benefit Life on Earth</t>
  </si>
  <si>
    <t xml:space="preserve">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 and any Co-PIs must qualify as  U.S. Persons  under 22 U.S. Code  6010:   'United States person' means any United States citizen or alien admitted for permanent residence in the United States, and any corporation, partnership, or other organization organized under the laws of the United States. </t>
  </si>
  <si>
    <t>The Division of Chemical, Bioengineering, Environmental, and Transport Systems (CBET) and the Division of Civil, Mechanical, and Manufacturing innovation (CMMI) in the Engineering Directorate (ENG) and the Division of Materials Research (DMR) in the Directorate for Mathematical and Physical Sciences (MPS) of the U.S. National Science Foundation (NSF) are partnering with The Center for the Advancement of Science in Space, Inc. (CASIS) to solicit research projects in the general fields of fluid dynamics, particulate and multiphase processes, combustion and fire systems, thermal transport processes, nanoscale interactions, manufacturing methods that employ any of those transport phenomena, and resulting metallic materials, metal nanostructures and ceramic materials that can utilize the International Space Station (ISS) National Lab to conduct research that will benefit life on Earth. Only entities that qualify as "U.S. Persons" under 22 U.S. Code  6010, including academic investigators, non-profit independent research laboratories and academic-commercial teams are eligible to submit proposals.</t>
  </si>
  <si>
    <t>ACADEMY FOR WOMEN ENTREPRENEURS (AWE) 2025 DRC</t>
  </si>
  <si>
    <t>DOS-COD</t>
  </si>
  <si>
    <t>U.S. Mission to the Democratic Republic of Congo</t>
  </si>
  <si>
    <t>Others (see text field entitled "Additional Information on Eligibility" for clarification) The following organizations are eligible to apply:   Not-for-profit organizations, including think tanks and civil society/nongovernmental organizations    Public and private educational institutions   Individuals For profit entities are not eligible for this funding opportunity.</t>
  </si>
  <si>
    <t>The Academy for Women Entrepreneurs (AWE) program was established by the U.S. Department of Stateâ€™s Bureau of Educational and Cultural Affairs (ECA) to support women entrepreneurs around the world. The AWE program provides female entrepreneurs with the skills, resources, and networks needed to launch and scale businesses within an inclusive learning community. In its third iteration in the DRC, the AWE program will train and enhance the capacity of 100 women entrepreneurs in five cities who have been running businesses for at least one year. The program consists of three phases: completion of an online curriculum (DreamBuilder); interactive sessions with business leaders; and a business plan competition, in which the top 20 participants will pitch their business ideas in Kinshasa. Ten finalists will have the opportunity to travel to Harvard Business School in the United States for advanced training. Through AWE, the U.S. Embassy in Kinshasa aims to strengthen and professionalize existing entrepreneurial networks by leveraging alumni contacts in five key provinces Alumni of U.S. government-funded exchange programs will play a central role as primary facilitators, collaborating with local NGOs that focus on sustainable management solutions. These facilitators will engage with participants through the American Spaces network across the country.</t>
  </si>
  <si>
    <t>ALUMNI-INFLUENCERS SUMMIT 2025 DRC</t>
  </si>
  <si>
    <t>Others (see text field entitled "Additional Information on Eligibility" for clarification) The following organizations are eligible to apply: _x000D_
  Not-for-profit organizations, including think tanks and civil society/non_x000D_
governmental organizations  _x000D_
  Public and private educational institutions _x000D_
  Individuals _x000D_
For profit entities are not eligible for this funding opportunity.</t>
  </si>
  <si>
    <t xml:space="preserve">The Democratic Republic of Congo is home to over 4,000 individuals who have benefited from U.S. government exchange programs. In addition, the country boasts a rapidly growing community of influencers who are playing a pivotal role in the nationâ€™s transformation and development. Their influence is particularly significant in shaping the evolving relationship between the American and Congolese peoples. In this context, and with the goal of fostering meaningful exchanges, supporting alumni initiatives, and enhancing the skills of Congolese digital creators and influencers, Public Diplomacy - Kinshasa is proud to host the Alumni â€“ Influencers Summit. This major event will take place from June 4 to 6, 2025, at the Rotana Hotel in Kinshasa. It will bring together 300 alumni and influencers, including 50 participants from various provinces across the DRC. The summit is designed to provide a platform for collaboration, idea-sharing, and networking among these key stakeholders. The primary objective of the summit is to strengthen their online presence and support the growth of their businesses. By providing opportunities for skill development and fostering valuable connections, the summit will empower attendees to enhance their digital influence and contribute to the continued development of the country. </t>
  </si>
  <si>
    <t>2025 Annual Program Statement   DRC Small Grants Program</t>
  </si>
  <si>
    <t>Others (see text field entitled "Additional Information on Eligibility" for clarification) The following organizations are eligible to apply:    _x000D_
  Not-for-profit organizations, including think tanks and civil society/non_x000D_
governmental organizations  _x000D_
  Public and private educational institutions _x000D_
For-profit organizations are not eligible for this funding opportunity.</t>
  </si>
  <si>
    <t>The U.S. Embassy Kinshasa of the U.S. Department of State is pleased to announce that funding is available through its Small Grants Program. This is an Annual Program Statement, outlining our funding priorities, the strategic themes we focus on, and the procedures for submitting requests for funding. Please carefully follow all instructions below. The Small Grants Program invites proposals for programs that strengthen ties between the United States and the Democratic Republic of the Congo (DRC). Programs should create opportunities for bilateral cooperation in areas of mutual interest and highlight shared values. All programs must include a U.S. element, such as an expert, organization, cultural element, or institution, that will promote increased understanding of U.S. policy and perspectives. The U.S. Embassy Kinshasa seeks to engage the public, civil society, media, and influencers at all levels of Congolese society and across the DRC with the goal of broadening understanding of U.S. policies, culture, history, society, and values.</t>
  </si>
  <si>
    <t>BJA FY25 Prison Rape Elimination Act (PREA) Training Curriculum for New Corrections Staff</t>
  </si>
  <si>
    <t>The Prison Rape Elimination Act (PREA) Training Curriculum for New Corrections Staff will identify a cooperative agreement recipient to develop and deliver educational courses to provide new correctional staff an understanding of their requirements under the PREA Standards about how to prevent, detect, and respond to allegations of sexual abuse or sexual harassment of people in confinement settings. This program will provide a high quality base training for agencies to customize from which portions (e.g., modules) can be used for training refreshers as needed.</t>
  </si>
  <si>
    <t>2025 Pacific Northwest Bay Watershed Education and Training</t>
  </si>
  <si>
    <t>Others (see text field entitled "Additional Information on Eligibility" for clarification) Eligible applicants are: K-12 public and independent schools and school systems; institutions of higher education; community-based and nonprofit organizations; regional, state or local government agencies; interstate agencies; and Indian tribal governments. For-profit organizations, foreign organizations, and foreign public entities are not eligible to apply; however, for-profit and foreign organizations and foreign public entities may participate as a project partner with an eligible applicant. Federal agencies are not allowed to receive funds under this announcement but may serve as collaborative project partners and may contribute services in kind. Individuals are not eligible to apply. While applicants do not need to be located in the targeted geographical regions specified in the program objectives, the primary participants of the projects must be located in the geographical regions specified in the program objectives. For the purposes of this solicitation, the Pacific Northwest region is defined as Oregon and Washington.To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modules:https://www.commerce.gov/ocio/programs/gems/applicant-and-grantee-training.</t>
  </si>
  <si>
    <t>The Pacific Northwest Bay Watershed Education and Training (B-WET) program is an environmental education program that supports locally relevant, authentic experiential learning in the K-12 environment. Funded projects provide Meaningful Watershed Educational Experiences (MWEEs; defined below) for students, related professional development for teachers, and help to support regional education and environmental priorities in the Pacific Northwest. The primary delivery is through competitive grants.
The FY25 Pacific Northwest B-WET funding announcement focuses on the following priority areas:
1) Systemic classroom-integrated Meaningful Watershed Educational Experiences (MWEEs) for K-12 students that promote climate resilience and include high-quality teacher professional development related to the MWEEs; and
2) Meaningful Watershed Educational ExperiencesMWEEs) for K-12 students that appropriately involve Indigenous Knowledge and promote climate resilience.
For Pacific Northwest B-WET, applicants may be physically located in any U.S. state; however, education projects must target teachers and/or students in the Pacific Northwest region. For the purposes of this solicitation, the Pacific Northwest region is defined as Oregon and Washington.
This funding opportunity meets NOAA's Vision of healthy ecosystems (http://www.noaa.gov/our-mission-and-vision), helping to ensure that ocean, estuarine, and related ecosystems and the species that inhabit them are vibrant and sustainable in the face of challenges.
Applicant organizations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t>
  </si>
  <si>
    <t>Advancing Vision Health Equity through Multi-level Interventions and Community-Engaged Research (R01 - Clinical Trial Optional)</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</si>
  <si>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t>
  </si>
  <si>
    <t>The purpose of this initiative is to request applications that aim to implement and evaluate multi-level interventions and community engaged research in advancing vision equity.  This Notice of Funding Opportunity (NOFO) supports research directed at preventing, reducing, or eliminating disparities in eye and vision health.  Applications responding to this NOFO must involve multilevel interventions that simultaneously address vision health conditions and social determinants of health (SDOH) at one or more levels of influence, such as individual, interpersonal, organizational, and community.  Research must include a focus on improving vision health in one or more NIH-designated Populations with Health Disparities.  Additionally, research must demonstrate meaningful community engagement in the research process.</t>
  </si>
  <si>
    <t>High Energy Cost Grants</t>
  </si>
  <si>
    <t>Small businesses Grants are for projects that serve an eligible community; grants are not for the benefit of individuals or a single business. Individuals may apply on behalf of entities not yet incorporated but awards will not be made directly to individuals. Applicants must be located in the United States, a U.S. Territory or other area authorized by law to participate in programs of the Rural Utilities Service or under the Rural Electrification Act.</t>
  </si>
  <si>
    <t>The Rural Utilities Service (RUS), an agency of the United States Department of Agriculture (USDA) announces a notice of funding opportunity, subject to appropriation, of up to $10 million in competitive grants to assist communities with extremely high energy costs. The grant funds may be used to acquire, construct, or improve energy generation, transmission, or distribution facilities serving communities where the average annual residential expenditure for home energy exceeds 275% of the national average. Eligible projects also include on-grid and off-grid renewable energy projects and the implementation of energy efficiency and energy conservation projects for eligible communities. Projects cannot be for the primary benefit of a single household or business. Grant funds may not be used for the preparation of the grant application, operating costs, or for the purchase of any equipment, structures, or real estate not directly associated with the provision of community energy services.</t>
  </si>
  <si>
    <t>U.S. Mission Vietnam PDS NOFO</t>
  </si>
  <si>
    <t>DOS-VNM</t>
  </si>
  <si>
    <t>U.S. Mission to Vietnam</t>
  </si>
  <si>
    <t>Others (see text field entitled "Additional Information on Eligibility" for clarification)   Registered not-for-profit organizations, including think tanks and civil society/non-governmental organizations with programming experience;  Not-for-profit or governmental educational institutions;  Registered social enterprises; or  Governmental institutions.</t>
  </si>
  <si>
    <t>The U.S. Mission to Vietnamâ€™s Public Diplomacy Section (PDS) of the Department of State is pleased to announce an open competition for organizations to submit proposals to carry-out activities that support the following priorities with Vietnamese audiences: enhance understanding of emerging technologies and related digital policies; teacher training for English as a second language across all areas of instruction; alumni engagement; and strengthen people-to-people ties as the U.S. and Vietnam mark thirty years of bilateral relations.This Notice of Funding Opportunity outlines our funding priorities, strategic themes, and the procedures for submitting requests for funding. Please note that the agreement will be signed under a federal assistance award. The funding is not eligible for a service agreement.Please carefully follow all instructions below.</t>
  </si>
  <si>
    <t>U.S. Embassy Yangon Jefferson Center Mandalay (JCM) Small Grants Competition</t>
  </si>
  <si>
    <t>DOS-MMR</t>
  </si>
  <si>
    <t>U.S. Mission to Myanmar</t>
  </si>
  <si>
    <t>Others (see text field entitled "Additional Information on Eligibility" for clarification)  	Not-for-profit organizations, including think tanks and                 civil society/non-governmental organizations  	Alumni of USG Exchanges 	Educational institutions 	Individuals</t>
  </si>
  <si>
    <t xml:space="preserve">The U.S. Embassy Yangon of the U.S. Department of State announces an open competition for organizations or individuals to submit an application and proposal to carry out a program (or programs) to strengthen the cultural ties and understanding between the U.S. and Myanmar through programs or projects that highlight shared values, promote bilateral cooperation and exchange. All programs must include an American cultural element, or connection with American expert/s, organization/s, or institution/s in a specific field that will promote increased understanding of U.S. policy and perspectives. Programs or projects are encouraged to use the American Center in Yangon and Jefferson Center in Mandalay as venues. Please carefully follow all instructions below.
Priority Program Areas: Priority will be given to proposals that address one or more of the following program areas:
1. EDUCATION - Programs that provide skill-based and vocational opportunities for Myanmar students and young adults in support of economic empowerment, special priority will be given to proposals that are aimed towards disadvantaged, marginalized, and rural communities . Programs that promote understating of U.S education and culture or that help prepare for study in the United States; the building of linkages between American and Myanmar private academic   cultural institutions; and training opportunities for Myanmar students or faculty and artists. Programs that enhance STEM education and skills among target audiences, foster innovation and critical thinking, and promote collaboration between U.S. and foreign institutions are essential. The target audience includes students aged 16 to 30 with an interest in STEM, educators, and underrepresented groups in STEM fields.
2. Entrepreneurship - Projects that provide training for small businesses and entrepreneurs, especially programs that are tailored toward disadvantaged or marginalized, or rural communities. Programs that enhance STEM education and skills among target audiences, foster innovation and critical thinking, and promote collaboration between U.S. and foreign institutions are essential. The target audience includes students aged 16 to 30 with an interest in STEM, educators, and underrepresented groups in STEM fields. 
3. MEDIA LITERACY, INDEPENDENT MEDIA   PRESS FREEDOM - Projects that promotes digital   media literacy, support training for independent   citizen journalism, and counter disinformation.
4.ENGLISH LANGUAGE LEARNING â€“ Projects that teach English skills and culture to Myanmar youth and young professionals. Programs for Business English or English for Entrepreneurs. 
5.â€“MYANMAR BILATERAL RELATIONSHIP - Programs that seek to promote a greater understanding of U.S. policies, culture, and society to Myanmar audiences; activities that promote shared values and interests between the American and Myanmar people; and projects that build people-to-people ties.
Note: Please see detail information in Related Document tab.
</t>
  </si>
  <si>
    <t>: U.S. Embassy Yangon American Center Yangon (ACY) Small Grants Competition</t>
  </si>
  <si>
    <t xml:space="preserve">The U.S. Embassy Yangon of the U.S. Department of State announces an open competition for organizations or individuals to submit an application and proposal to carry out a program (or programs) to strengthen the cultural ties and understanding between the U.S. and Myanmar through programs or projects that highlight shared values, promote bilateral cooperation and exchange. All programs must include an American cultural element, or connection with American expert/s, organization/s, or institution/s in a specific field that will promote increased understanding of U.S. policy and perspectives. Programs or projects are encouraged to use the American Center in Yangon and Jefferson Center in Mandalay as venues. Please carefully follow all instructions below.
Priority Program Areas: Priority will be given to proposals that address one or more of the following program areas:
1. EDUCATION - Programs that provide skill-based and vocational opportunities for Myanmar students and young adults in support of economic empowerment, special priority will be given to proposals that are aimed towards disadvantaged, marginalized, and rural communities . Programs that promote understating of U.S education and culture or that help prepare for study in the United States; the building of linkages between American and Myanmar private academic   cultural institutions; and training opportunities for Myanmar students or faculty and artists. Programs that enhance STEM education and skills among target audiences, foster innovation and critical thinking, and promote collaboration between U.S. and foreign institutions are essential. The target audience includes students aged 16 to 30 with an interest in STEM, educators, and underrepresented groups in STEM fields.
2. Entrepreneurship - Projects that provide training for small businesses and entrepreneurs, especially programs that are tailored toward disadvantaged or marginalized, or rural communities. Programs that enhance STEM education and skills among target audiences, foster innovation and critical thinking, and promote collaboration between U.S. and foreign institutions are essential. The target audience includes students aged 16 to 30 with an interest in STEM, educators, and underrepresented groups in STEM fields. 
3. MEDIA LITERACY, INDEPENDENT MEDIA   PRESS FREEDOM - Projects that promotes digital   media literacy, support training for independent   citizen journalism, and counter disinformation.
4.ENGLISH LANGUAGE LEARNING â€“ Projects that teach English skills and culture to Myanmar youth and young professionals. Programs for Business English or English for Entrepreneurs. 
5.â€“MYANMAR BILATERAL RELATIONSHIP - Programs that seek to promote a greater understanding of U.S. policies, culture, and society to Myanmar audiences; activities that promote shared values and interests between the American and Myanmar people; and projects that build people-to-people ties.
Note: Please see detail information in Related Document tab. 
</t>
  </si>
  <si>
    <t>Fiscal Year (FY) 2025 Directors' Research Initiative (DRI)</t>
  </si>
  <si>
    <t>This Directorâ€™s Research Initiative NOFO will fund topics that are of interest to the Air Force Office of Scientific Research, as well as areas of interest to the United States Space Force. The theme for this initiative is Energy for Agility. Discovery science is needed today to achieve the energy resources required for the future integrated employment of Air and Space Forces, for power generation and optimization, and resilience to exposure.In the coming decades, we are expecting to witness groundbreaking innovations in energy generation (in traditional methods, nuclear methods, and alternative methods of fuel and power), mobile energy storage, and power distribution that will change the way we think about energy for our Air and Space systems.Regardless of the selection of power generation and power requirements of a system, power system engineering should push beyond reliance on electrical engineering power conditioning concepts, and applied mathematical methods are required to create foundational competency to optimize power efficiency that take into account system activities with variable durations, purposes, and environments. A rigorous coupling between kinetics, mechanics, and electrochemistry is required for the discovery of next generation batteries. The convergence of major advancements in precision multi-material manufacturing, high fidelity functional material simulation, full linkages between component-operational-campaign level modeling, self-learning artificial intelligence, and advanced platform and propulsion designs will lead to revolutionary changes in system design processes and will enable rapid revolutionary system optimization. Increased activities in space will bring new exposures to radiation from, for example, space and mobile energy/power sources together with extreme environments. This creates new demands for protecting systems, such as needs for protective coatings or gear, radiation hardening, or multi-functionality of materials, electronics, and systems. Questions will likely arise around human exposure and protection, as agile energy may create localized extreme environments and novel exposure challenges. Advances in fundamental chemistry, fundamental biology, or computational sciences may prompt novel opportunities in the convergence of biosciences with unconventional energy concepts.This opportunity seeks to fund proposals in four (4) specific topic areas. Please see the announcement for more information.</t>
  </si>
  <si>
    <t>FY25 Ruth D. Gates Coral Reef Conservation Grants - Fishery Management Council Cooperative Agreements</t>
  </si>
  <si>
    <t>Others (see text field entitled "Additional Information on Eligibility" for clarification) Eligible applicants are limited to the Caribbean Fishery Management Council, the Gulf of Mexico Fishery Management Council, the South Atlantic Fishery Management Council, and the Western Pacific Regional Fishery Management Council. NOAA employees are not permitted to assist in the preparation of applications. NOAA CRCP staff are available to provide general information on programmatic goals and objectives, ongoing coral reef conservation programs/activities, and regional funding priorities. For proposals that involve collaboration with current NOAA projects or staff, NOAA employees may provide a limited statement verifying the nature and extent of the collaboration and confirming prior coordination activities. Letters of support from NOAA employees are not allowable and will not be included among the application materials considered by merit reviewers.</t>
  </si>
  <si>
    <t>The NOAA Coral Reef Conservation Grant Program provides financial assistance through the Ruth D. Gates Coral Reef Conservation Grants - Fishery Management Council Cooperative Agreements (FMCCA) to the Regional Fishery Management Councils for projects to conserve and manage coral reef fisheries, as authorized under the Coral Reef Conservation Act, 16 U.S.C. Â§ 6410. Projects funded through the FMCCA are for activities that: 1) Improve compliance with coral reef fisheries laws and essential fish habitat designations; 2) Provide better scientific information to improve the management of shallow coral reef fisheries and associated essential fish habitat; 3) Advance ecosystem-based fisheries management though the application of existing data and fisheries management tools. Proposals selected for funding through this solicitation will be implemented through a one-year cooperative agreement. The role of NOAA in the FMCCA is to help identify potential projects to improve sustainable management of shallow coral reef fisheries and ecosystems, strengthen the development and implementation of the projects, and assist in coordination of these efforts with federal, state, territory or commonwealth management authorities and various coral reef user groups. Approximately $1,000,000 is expected to be available for FMCCA in FY 2025. The NOAA Coral Reef Conservation Program anticipates that awards will range from $125,000-$300,000. NOAA will not accept proposals with a federal request over $350,000.</t>
  </si>
  <si>
    <t>Enhanced Surveillance and Control of Endemic and Emerging Arboviruses in Puerto Rico</t>
  </si>
  <si>
    <t>HHS-CDC-HHSCDCERA</t>
  </si>
  <si>
    <t>Centers for Disease Control and Prevention - ERA</t>
  </si>
  <si>
    <t>Others (see text field entitled "Additional Information on Eligibility" for clarification) Ponce Medical School Foundation Inc in Ponce Health Sciences University (PHSU) in Puerto Rico is the only eligible applicant.</t>
  </si>
  <si>
    <t>The purpose of this notice of funding opportunity (NOFO) is to strengthen an established research platform for arboviruses in hospital and community settings in Puerto Rico, identify emerging and endemic pathogens like dengue and Oropouche viruses, improve patient management, and evaluate prevention and control strategies. The core objectives include: 1) strengthen hospital surveillance of acute febrile illness (AFI) to ensure early detection of emerging arboviruses and other pathogens; 2) use the established AFI surveillance platform to conduct clinical research on dengue and other arboviral diseases, including among special populations such as women and children; 3) maintain and enhance the community cohort to assess incidence and prevalence of arboviral infections and other AFIs, while also evaluate the effectiveness of vector control strategies; 4) strengthen and modernize infrastructure for project data management and analysis, ensuring the surveillance platform is capable of handling large, complex datasets in real-time; and 5) strengthen collaborations with the local government, community leaders, and other interest holders to ensure the continuity of the established program while fostering an environment of rapid and effective communication and cooperation.</t>
  </si>
  <si>
    <t>REQUEST FOR INFORMATION (RFI) - USAID Catalyzing Access to FP</t>
  </si>
  <si>
    <t>USAID-MOZ</t>
  </si>
  <si>
    <t>Mozambique USAID-Maputo</t>
  </si>
  <si>
    <t>See attached</t>
  </si>
  <si>
    <t>Solar with Wildlife and Ecosystem Benefits 2 (SolWEB2)</t>
  </si>
  <si>
    <t>State governments Domestic entities
Domestic entities are eligible to apply as recipients or subrecipients. The following types of domestic entities are eligible to participate as a recipient or subrecipient of this NOFO:
1. Institutions of higher education;
2. For-profit organization;
3. Nonprofit organiztion;
4. State and local governmental entities;
5. Indian Tribes, as definied in section 4 of the Indian Self-Determination and Education Assistance Act, 25 U.S.C.   5304</t>
  </si>
  <si>
    <t>NOFO Description: The goal of this funding opportunity is to improve the outcomes of large-scale solar (LSS) development for ecosystems, wildlife, and communities by soliciting projects that will a) test strategies that mitigate adverse impacts and/or maximize benefits to wildlife and ecosystems, b) provide technical assistance and stakeholder engagement opportunities to facilitate strategies that improve the compatibility of LSS facilities with wildlife, or c) provide technical assistance and conduct outreach to facilitate the adoption of agrivoltaics.
Modification 000002:  Updated the Informational Webinar Date; see the cover page of the NOFO Document Part 1</t>
  </si>
  <si>
    <t>FY 2025 Annual Program Statement</t>
  </si>
  <si>
    <t>DOS-RUS</t>
  </si>
  <si>
    <t>U.S. Mission to Russia</t>
  </si>
  <si>
    <t>Others (see text field entitled "Additional Information on Eligibility" for clarification) Eligibility is limited to recipients qualified to receive U.S. grants and able to develop and implement programs in the Russian Federation, or programs that engage communities maintaining ties to people living in Russia.  Preference will be given to recipients implementing programs in the Russian Federation or directly reaching people living in Russia.  These include:_x000D_
 	Not-for-profit organizations, including think tanks, educational institutions, civil society organizations, and individuals carrying out programs in support of civil society; _x000D_
 	Museums, national parks, and nature reserves, and;_x000D_
 	Individuals.</t>
  </si>
  <si>
    <t xml:space="preserve">BACKGROUND: The U.S. government unequivocally condemns the Russian governmentâ€™s aggressive foreign policy. The Kremlinâ€™s efforts to silence independent voices, restrict access to unbiased information, and punish dissent represent a pattern of systematic repression of the Russian peopleâ€™s fundamental freedoms. The United States recognizes this and distinguishes between Russiaâ€™s government and its people. The United States respects the Russian peopleâ€™s contributions to science, culture, and education. Maintaining and strengthening the people-to-people connections between our countries serves the long-term interests of the United States and remains the bedrock upon which a future, more constructive bilateral relationship could emerge. In that spirit, the United States supports people-to-people engagements, exchange programs, and other initiatives that allow Russian students, scholars, and civil society members to experience the United States, its culture, and its values firsthand, and that promote interaction between the Russian and American people with the aim of keeping the door open to a better future. 
A. PROGRAM DESCRIPTION
The U.S. Embassy Moscow Public Diplomacy Section (PDS) announces funding is available through our Public Diplomacy Grants Program. This APS outlines our funding priorities, strategic themes, and the procedure for submitting requests for funding. Applications for programs are accepted until the deadline of March 3, 2025. The U.S. Embassy will not accept applications under the 2025 NOFO after that deadline. 
Please follow the instructions below. Please use the grant application mandatory forms and consider using the proposal and budget templates found on our website sidebar.
Purpose of Public Diplomacy Grants: PDS Moscow invites proposals for projects that support future constructive relations and reinforce ties between the American and Russian people. Grant proposals must convey an element of U.S. history, culture, or values. Competitive proposals should support a priority program area (see below) and should also include a connection with U.S. expert/s, organization/s, or institution/s that will promote increased cooperation between the people of the United States and Russia even after the program has finished.
Priority Programming Areas: 
Â· Media   Information: Projects that promote an understanding of freedom of the press, good journalistic practices, increased access to information, and improved media and digital literacy for the Russian people;
Â· Sharing America: Projects that promote an understanding of the American values of democracy, freedom of expression, and an open society, as well as proposals that increase the understanding of Americaâ€™s diverse cultures and groups; 
Â· Empowering Women   Minorities: Projects that support the rights of women, minorities, marginalized populations, and persons with disabilities;
Â· Environment   Space: Projects that promote improvements, innovation, advancement, and collaboration in the areas of space and the environment;
Â· English Language Learning   Teaching: Projects that support innovative, interactive teaching and learning of the English language.
The following types of projects are NOT eligible for funding: 
Â· Projects relating to partisan political activity;
Â· Charitable or development activities;
Â· Construction projects;
Â· Commercial projects;
Â· Projects that support specific religious activities;
Â· Fundraising campaigns;
Â· Lobbying for specific legislation or projects;
Â· Competitions where the prize is the only outcome of the program;
Â· Scientific research and/or surveys; or
Â· Projects that duplicate existing projects.
Authorizing legislation, type, and year of funding: 
Funding authority rests primarily in Fulbright-Hayes or Smith-Mundt FY2025/2026 Public Diplomacy funding, as well as other funding sources. All programming is subject to the statutory limitations of the funding determined and availability of funds. </t>
  </si>
  <si>
    <t>Alumni Engagement Innovation Fund (AEIF) - Norway</t>
  </si>
  <si>
    <t>DOS-NOR</t>
  </si>
  <si>
    <t>U.S. Mission to Norway</t>
  </si>
  <si>
    <t>Others (see text field entitled "Additional Information on Eligibility" for clarification)  	Teams of two or more ExchangeAlumni who have participated in a U.S. government-sponsored exchange program.  At least one team member must be Norwegian or resident in Norway. 	Alumni Associations in Norway with ExchangeAlumni members.  	Not-for-profit organizations, including think tanks and civil society/non-governmental organizations affiliated or partnering with ExchangeAlumni. 	Public and private educational institutions with ExchangeAlumni on the staff or faculty</t>
  </si>
  <si>
    <t xml:space="preserve">Notice of Funding Opportunity (NOFO) â€“ Embassy Norway Alumni Engagement Innovation Fund 2025
ï»¿
The Embassy of the United States in Norway announces an open competition for past participants of U.S. government-funded and U.S. government-sponsored exchange programs (ExchangeAlumni) to submit applications to the 2025 Alumni Engagement Innovation Fund (AEIF 2025) 
We seek proposals from teams of two or more ExchangeAlumni, at least one of whom is Norwegian or resident in Norway, that meet all program eligibility requirements below. 
ExchangeAlumni interested in participating in AEIF 2025 should submit proposals to oslogrants@state.gov by 23:59 Oslo time on February 15, 2025.
 A. PROGRAM DESCRIPTION
The Alumni Engagement Innovation Fund (AEIF) is a unique opportunity for alumni of U.S. government-sponsored and facilitated exchange programs (ExchangeAlumni) to expand on skills and knowledge gained during their exchange experience, connect with fellow alumni, and elevate their role as community leaders. 
Since its inception in 2011, AEIF has funded nearly 900 alumni-led projects around the world through a competitive global competition. Past participants have developed projects that promote media literacy education, build community resilience, foster alumni network development, and engage with issues such as climate change and sustainable development. 
Goals and Objectives 
AEIF is designed to increase the impact of the U.S. governmentâ€™s investment in exchange participants and programs, by providing ExchangeAlumni with funding to design and implement innovative solutions to global challenges facing their community. All AEIF projects must include at least one of the following: 
Â· Convene ExchangeAlumni from one or more U.S. government exchange programs to build or expand an alumni network capable of working together on common interests and increase regional and global collaboration of alumni. 
Â· Strengthen the relationship between ExchangeAlumni and the U.S. government to work together on activities that address mutual goals and challenges. 
Â· Support ExchangeAlumni as they develop their leadership capacity and implement projects in their communities. 
We welcome creative proposals that address the elements above and promote the relationship between the U.S. and Norway through a variety of topics including, but not limited to:
 Highlighting the importance of the strong security and defense relationship between the U.S. and Norway 
 Promoting awareness of, and interest in, benefits of the economic relationship between the U.S. and Norway 
 Sharing best practices in research security and academic integrity. 
 Expanding bilateral ties based on shared Norwegian and American values 
 Capitalizing on interest in the history and legacy of Norwegian emigration to the United States during the bicentennial commemorations in 2025 to underscore connections between contemporary Norway and the U.S. 
</t>
  </si>
  <si>
    <t>Alumni Engagement Innovation Fund NOFO</t>
  </si>
  <si>
    <t>DOS-RWA</t>
  </si>
  <si>
    <t>U.S. Mission to Rwanda</t>
  </si>
  <si>
    <t>Others (see text field entitled "Additional Information on Eligibility" for clarification)  	Applicants must be alumni of a U.S. government-funded or sponsored exchange program or a U.S. government-sponsored exchange program._x000D_
 	Project teams must include at least two (2) alumni. _x000D_
 	Alumni who are U.S. citizens may not submit proposals, but U.S. citizen alumni may participate as team members in a project. _x000D_
 	Alumni teams may be comprised of alumni from different exchange programs and different countries. _x000D_
 	Applications must be submitted by exchange alumni or alumni associations of U.S. government exchange alumni.  No other organizations are eligible to apply.  Exchange alumni can partner with not-for-profit or non-governmental organizations, think tanks, and academic institutions to implement project activities.  The grant can be issued to the individual alumni or the partner organization.</t>
  </si>
  <si>
    <t>The Public Diplomacy Section of the Embassy of the United States of America in Kigali, Rwanda, is pleased to announce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by email to KigaliPDGrants@state.gov by February 23, 2025, 11:59 p.m. (GMT+2). 
1. Goals and Objectives 
AEIF 2025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to increase economic growth and strengthen human capital and to promote democracy, good governance, and rule of law.  
The U.S. Embassy Kigali will accept public service projects proposed and managed by teams of at least two (2) alumni that support themes such as:  
Â· Promote leadership and/or health diplomacy through science, technology, engineering, art, and mathematics (STEAM) 
Â· Support professional development for youth to improve job readiness 
Â· Promote media professionalsâ€™ and/or early career reportersâ€™ capacity 
Â· Promote inclusion, advocacy, and education of vulnerable groups 
Â· Promote digital literacy and soft skills among underserved youth 
2. Substantial Involvement  
The U.S. Embassy will determine the level of substantial involvement after the grantee is selected.  
A. Application Contents and Format 
Please follow all instructions below carefully.  Proposals that do not meet the requirements of this announcement or fail to comply with the stated requirements will be ineligible. 
Content of Application 
Please ensure: 
Â· The proposal clearly addresses the goals and objectives of this funding opportunity 
Â· All documents are in English 
Â· All budgets are in U.S. dollars 
Â· All pages are numbered 
Â· Length of proposal does not exceed 10 pages 
Â· All documents are formatted to fit 8 Â½ x 11 paper, and 
Â· All Microsoft Word documents are single-spaced, 12-point Calibri font, with a minimum of 1-inch margins.</t>
  </si>
  <si>
    <t>U.S. Embassy Yangon Public Diplomacy Small Grants Competition</t>
  </si>
  <si>
    <t>Others (see text field entitled "Additional Information on Eligibility" for clarification)  	Not-for-profit organizations, including think tanks and         civil society/non-governmental organizations 	Alumni of USG Exchanges 	Educational institutions 	Individuals</t>
  </si>
  <si>
    <t xml:space="preserve">The U.S. Embassy Yangon of the U.S. Department of State announces an open competition for organizations or individuals to submit an application and proposal to carry out a program (or programs) to strengthen the cultural ties and understanding between the U.S. and Myanmar through programs or projects that highlight shared values, promote bilateral cooperation and exchange. All programs must include an American cultural element, or connection with American expert/s, organization/s, or institution/s in a specific field that will promote increased understanding of U.S. policy and perspectives. Programs or projects are encouraged to use the American Center in Yangon and Jefferson Center in Mandalay as venues. Please carefully follow all instructions below.
Priority Program Areas: Priority will be given to proposals that address one or more of the following program areas:
 1. EDUCATION - Programs that provide skill-based and vocational opportunities for Myanmar students and young adults in support of economic empowerment, special priority will be given to proposals that are aimed towards disadvantaged, marginalized, and rural communities . Programs that promote understating of U.S education and culture or that help prepare for study in the United States; the building of linkages between American and Myanmar private academic   cultural institutions; and training opportunities for Myanmar students or faculty and artists.
2. Entrepreneurship - Projects that provide training for small businesses and entrepreneurs, especially programs that are tailored toward disadvantaged or marginalized, or rural communities. 
3. MEDIA LITERACY, INDEPENDENT MEDIA   PRESS FREEDOM - Projects that promotes digital   media literacy, support training for independent   citizen journalism, and counter disinformation.
4.ENGLISH LANGUAGE LEARNING â€“ Projects that teach English skills and culture to Myanmar youth and young professionals. Programs for Business English or English for Entrepreneurs. 
5.â€“MYANMAR BILATERAL RELATIONSHIP - Programs that seek to promote a greater understanding of U.S. policies, culture, and society to Myanmar audiences; activities that promote shared values and interests between the American and Myanmar people; and projects that build people-to-people ties.
Note: Please see detail information in Related Document tab.
 </t>
  </si>
  <si>
    <t>Fellowships Open Book Program</t>
  </si>
  <si>
    <t>Nonprofits having a 501(c)(3) status with the IRS, other than institutions of higher education Eligibility is limited to publishers who have published during or after calendar year 2010 a book whose research was supported by one of the NEH programs listed under Allowable Books. Publishers must be U.S. nonprofit organizations with 501(c)(3) tax-exempt status or accredited public or 501(c)(3) institutions of higher education.</t>
  </si>
  <si>
    <t>The National Endowment for the Humanities (NEH) Office of Digital Humanities, in partnership with the NEH Division of Research Programs and Division of Education Programs, is accepting applications for the Fellowships Open Book Program. This limited competition awards publishers a $6,600 grant to release open access digital editions of books whose underlying research was funded by an eligible NEH fellowship or grant. (See NOFO section A. Program Description for a complete list of eligible programs.) Publishers must release e-books under a Creative Commons license, making those books free for anyone to download. The book could be a forthcoming title (to be open access upon first release) or it could be a book that was published, reissued, or printed in a new edition during or after calendar year 2010.</t>
  </si>
  <si>
    <t>Translation and Diffusion</t>
  </si>
  <si>
    <t>Others (see text field entitled "Additional Information on Eligibility" for clarification) *Who May Submit Proposals: Proposals may only be submitted by the following:
  -Foreign organizations: For cooperative projects involving U.S. and foreign organizations, support will only be provided for the U.S. portion.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-Other Federal Agencies and Federally Funded Research and Development Centers (FFRDCs): Prospective proposers from other FFRDCs, including NSF sponsored FFRDCs, must follow the guidance in PAPPG Chapter I.E.2 regarding limitations on eligibility.
  -State and Local Governments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</si>
  <si>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This solicitation addresses issues of translation and diffusion that arise in moving knowledge gained from fundamental learning and education research toward application in PreK-12 STEM classroom practice or leveraging knowledge derived from effective practice toward driving fundamental research. The first goal of this funding opportunity is to encourage the scientific study of theories, frameworks, and models for the translation and diffusion of knowledge, especially between fields and across contexts and levels-of-analysis (e.g., biological to cognitive/socioemotional to behavioral; individual to classroom to broader demographic variables; lab to classroom to school to district). The second goal is to advance or move specific practice, research or scientific discovery in STEM education reciprocally along the research-practice continuum.
The Translation and Diffusion (TD) solicitation invites four types of proposals: Research on Translation or Diffusion proposals request funding to conduct scholarship that will advance the sciences of translation or diffusion of fundamental research knowledge toward PreK-12 formal STEM education practice by developing or refining theories, frameworks, or models (or adapting those from other domains) and conducting related research. Such proposals may also address the leveraging of effective classroom practices toward the enrichment of foundational research, constructs and models. We note that bi-directional movement across boundaries is a mutually beneficial reciprocal process. Proof-of-Concept Research proposals request funding to explore the feasibility and viability of particular knowledge or products generated from STEM education research toward advancing practice in formal PreK-12 settings (even if it is still basic or applied research and development rather than implementation). The goals are to facilitate the process by which the promise that the initial insight holds for research and practice can be realized. The outcome of such a project would lay the methodological, theoretical, empirical, design, or social foundation for conducting systematic work at the next stage of development or at the next level of analysis. Empirical and theory-building efforts to adapt initial insights from research or practice across significantly different contexts, populations, domains, and levels-of-analysis are also welcome. Synthesis proposals critically integrate the current state of knowledge on a particular topic relevant to translation and diffusion in formal PreK-12 STEM education. Such proposals should include the state of the knowledge across disciplinary communities and across relevant literatures, identify the lacunae in STEM education knowledge, and, where appropriate, lay out thenext steps for future research and development. Conference / Workshop proposals relevant to the call are also welcome.</t>
  </si>
  <si>
    <t>Institute of Education Sciences (IES): National Center for Education Research (NCER):   Research Education Research and Development Center Program, Assistance Listing Number (ALN) 84.305C</t>
  </si>
  <si>
    <t>Nonprofits having a 501(c)(3) status with the IRS, other than institutions of higher education 1.  Eligible Applicants:  For Improving Gifted Education, partnerships involving at least one institution of higher education and at least two State educational agencies with the ability and capacity to conduct rigorous research are eligible to apply.  Partnerships may also include additional institutions of higher education, additional State educational agencies, local educational agencies, other public agencies, other private agencies and organizations, other research institutions, and non-profit and for-profit organizations.For Using Generative Artificial Intelligence to Improve Instruction in Postsecondary Education, entities that have the ability and capacity to conduct rigorous research are eligible to apply.       Eligible applicants include, but are not limited to, non-profit and for-profit organizations and public and private agencies and institutions, such as colleges and universities.</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</si>
  <si>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Through the Education Research and Development Center Program, the Institute of Education Sciences (IES) funds Research and Development (R D) centers to conduct a focused program of research that will contribute to solving a specific education problem and generate new knowledge in their topic area; provide national leadership, research training, capacity building, and outreach within their topic area; and conduct relatively rapid research and scholarship on supplemental questions that emerge within their topic area. 
Assistance Listing Number (ALN) 84.305C.</t>
  </si>
  <si>
    <t>Rehabilitation Engineering Research Centers (RERC) Program: RERC on Universal Design Applications</t>
  </si>
  <si>
    <t>City or township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</si>
  <si>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RERC program is to improve the effectiveness of services authorized under the Rehabilitation Act by conducting advanced engineering research on and development of innovative technologies that are designed to solve particular rehabilitation problems or to remove environmental barriers. RERCs also demonstrate and evaluate such technologies, facilitate service delivery system changes, stimulate the production and distribution of new technologies and equipment in the private sector, and provide training opportunities. Under this particular RERC priority, the grantee must conduct research and development activities toward universally designed products or built environments that promote positive health and function, employment, or community living outcomes among people with disabilities. This grant will have a 60-month project period, with five 12-month budget periods.</t>
  </si>
  <si>
    <t>Rehabilitation Research and Training Center (RRTC) on Employment Policy</t>
  </si>
  <si>
    <t>Public and State controlled institutions of higher education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</si>
  <si>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RRTCs is to achieve the goals of, and improve the effectiveness of, services authorized under the Rehabilitation Act through well-designed research, training, technical assistance, and dissemination activities in important topical areas as specified by NIDILRR.  The purpose of this particular RRTC is to conduct research, training, technical assistance, and related activities to contribute to new knowledge regarding the effect of public policies and programs on employment outcomes among people with disabilities. NIDILRR plans to make one grant under this opportunity. The grant will have a 60-month project period, with five 12-month budget periods.</t>
  </si>
  <si>
    <t>American Schools and Hospitals Abroad Program Worldwide</t>
  </si>
  <si>
    <t>USAID</t>
  </si>
  <si>
    <t>Agency for International Development</t>
  </si>
  <si>
    <t>Others (see text field entitled "Additional Information on Eligibility" for clarification) Please see the RFA document for full information regarding eligibility.</t>
  </si>
  <si>
    <t>ASHA's Fiscal Year 2025 draft Request for Applications (RFA) is available for Public Comment on grants.gov from December 20, 2024 until January 17, 2025.Please submit comments to ASHAapplications@usaid.gov by January 17, 2025 at 4pm EST. Comments will not be accepted through the grants.gov portal.After ASHA receives and responds to public comments, the official RFA will be posted to grants.gov. The deadlines for the Question and Answer (Q A) period and the Phase 1 application submission will be listed in the official RFA.</t>
  </si>
  <si>
    <t>National Women s Mental Health and Substance Use Technical Assistance Center</t>
  </si>
  <si>
    <t>Others (see text field entitled "Additional Information on Eligibility" for clarification) Eligible applicants are State, local, tribal, and territorial governments, tribal organizations, nonprofit community-based entities, and primary care and behavioral health organizations to address community behavioral health needs worsened by the COVID-19 public health emergency.</t>
  </si>
  <si>
    <t>The purpose of this program is to enhance the capacity of healthcare providers serving women across the nation in the core health specialties of mental health (MH) and substance use (SU), obstetrics/gynecology (OB/GYN), pediatrics, emergency services, crisis services, and primary care to address the diverse needs of women with, or at risk for mental and substance use disorders (SUD), including those who were greatly impacted by COVID-19.</t>
  </si>
  <si>
    <t>U.S. Embassy Nairobi, Kenya: Ambassadors Fund For Cultural Preservation (AFCP) 2025</t>
  </si>
  <si>
    <t>DOS-KEN</t>
  </si>
  <si>
    <t>U.S. Mission to Kenya</t>
  </si>
  <si>
    <t>Others (see text field entitled "Additional Information on Eligibility" for clarification) Only these types or organizations may apply: 	Foreign Institutions of Higher Education 	Foreign-Based Non-Governmental Organizations (NGOs) 	Foreign Public Entities (where permitted) 	Public International Organizations and Governmental Institutions 	U.S. Institutions of Higher Education 	U.S. Non-Profit Organizations (IRS section 501(c)(3)</t>
  </si>
  <si>
    <t>Executive summary The U.S. Embassy in Nairobi, Kenya is now accepting applications for the U.S. Ambassadors Fund for Cultural Preservation (AFCP) Grants Program! AFCP supports the preservation of historic buildings, archaeological sites, manuscripts, museum collections, and forms of traditional cultural expression such as indigenous languages and crafts in more than 120 countries around the world. Grants range from U.S. $25,000 to $500,000.Projects may range in length from one to five years. The application process involves two rounds:ï»¿Round 1: The first round includes the submission of project ideas in the form of concept notes, due to the U.S. Embassy in Nairobi on January 15, 2025. Concept notes should be submitted electronically to and should not exceed three pages. No hard copies will be accepted. Failure to include any of the requirements or follow the character limits will result in the application being deemed ineligible.Round 2: Selected applicants will be invited to submit full project applications for Round Two by March 31, 2025.For any questions regarding the submission process, please email Priority regions: All the counties in Kenya Participants and audiences: Local communities, government agencies, educational institutions, tourists, and others interested in cultural heritage and preservation.Funding Areas Â· Anastylosis: Reassembling a site using its original parts. Â· Conservation: Treating or otherwise addressing damage or deterioration to an object or site. Â· Consolidation: Reconnecting elements of an object or site. Â· Documentation: Recording the condition and important features of an object, site, or tradition in analog or digital format. Â· Inventory: Listing objects, sites, or traditions by location, feature, age, or other unifying characteristics. Â· Preventive Conservation: Addressing conditions that threaten or damage a site, object, collection, or tradition. Â· Restoration: Replacing missing elements to recreate the original appearance of an object or site, usually appropriate for fine arts, decorative arts, and historic buildings. Â· Stabilization: Reducing the physical disturbance or increasing the stability of an object or site.</t>
  </si>
  <si>
    <t>Smart and Connected Communities</t>
  </si>
  <si>
    <t>The purpose of the NSF Smart and Connected Communities (S CC) program solicitation is to accelerate the creation of novel intelligent technologies and concepts through high-risk/high-reward research that addresses major challenges and issues faced by communities across the US. A  smart and connected community  is defined as a community that synergistically integrates intelligent technologies with the natural and built environments and with the functions of civic institutions and organizations. Proposals submitted to the program should be designed to advance one or more of the following community priorities: economic opportunity and growth; safety and security; human and environmental health and wellness; accessibility of critical services and resources; and the overall quality of life for those who live, work, learn, or travel within the community. To meet the goals of the program, researchers should work with community stakeholders to identify and define challenges the community faces, using that interaction and input to generate high-impact, use-inspired, basic research that advances science and engineering.</t>
  </si>
  <si>
    <t>ROSES 2024: A.52 Advanced Component Technology</t>
  </si>
  <si>
    <t>NASA-HQ</t>
  </si>
  <si>
    <t>NASA Headquarters</t>
  </si>
  <si>
    <t>Others (see text field entitled "Additional Information on Eligibility" for clarification) Proposers must be affiliated with an institution at nspires.nasaprs.com/ and, in general, NASA provides funding only to U.S. institutions. Organizations outside the U.S. that propose on the basis of a policy of no-exchange-of-funds; consult the NASA Proposer s Guide (https://www.nasa.gov/general/grants-policy-and-compliance-team/ - section-2) for specific details. Some NRAs may be issued jointly with a non-U.S. organization, e.g., those concerning guest observing programs for jointly sponsored space science programs, that will contain additional special guidelines for non-U.S. participants. Also reference the Proposer s Guide for special instructions for proposals from non-U.S. organizations that involve U.S. personnel for whom NASA support is requested.</t>
  </si>
  <si>
    <t xml:space="preserve">NOTICE: Amended January 21, 2025. The due dates for this program have been deferred: Notices of Intent are now requested by March 11, 2025, and proposals are due May 1, 2025.  
Please note that this program requests optional Notices of Intent, which are due via NSPIRES by (amended January 21) March 11,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</si>
  <si>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Delta Health Systems Implementation Program</t>
  </si>
  <si>
    <t>Public and State controlled institutions of higher education You can apply if your organization is located in a rural county or parish in the Delta region and is one of the below eligible organization types. The Delta region is the region served by the Delta Regional Authority, which includes 252 counties and parishes located across eight states - Alabama, Arkansas, Illinois, Kentucky, Louisiana, Mississippi, Missouri, and Tennessee. To view maps of the counties and parishes in each state that are in the Delta region, visit https://dra.gov/about-dra/map-room/. To determine if a county or parish in the Delta region is rural visit HRSAs Rural Health Grants Eligibility Analyzer at https://data.hrsa.gov/tools/rural-health. Types of eligible organizations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</si>
  <si>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The purpose of the Delta Health Systems Implementation Program (DSIP) is to improve healthcare delivery in rural areas by implementing projects that will improve the financial sustainability of rural healthcare organizations and allow for increased access to care in rural communities. These projects focus on financial and operational improvement, quality improvement, telehealth, and workforce development in rural healthcare organizations in the rural counties and parishes of the Delta region.
 The Delta region includes 252 counties and parishes located across eight states: Alabama, Arkansas, Illinois, Kentucky, Louisiana, Mississippi, Missouri, and Tennessee. To view maps of the counties and parishes in each state that are in the Delta region, visit the Delta Regional Authority Service Area Map. To determine if a county or parish in the Delta region is rural, visit Rural Health Grants Eligibility Analyzer .
 This program supports projects in rural healthcare organizations (as defined in Other Eligibility Criteria) in the Delta region that have received previous technical assistance (TA) through the Delta Region Community Health Systems Development Program (DRCHSD) or another similar TA program within the last five years. The DRCHSD Program provides intensive, multi-year TA to rural healthcare organizations located in the Delta region for free. DSIP is an extension of the DRCHSD Program and is designed to help rural healthcare organizations that previously received TA, from DRCHSD or another similar TA program, to implement projects based on the recommendations from their TA consultations.</t>
  </si>
  <si>
    <t>Rural Communities Opioid Response Program-Overdose Response</t>
  </si>
  <si>
    <t>Native American tribal organizations (other than Federally recognized tribal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</si>
  <si>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RCORP â€“ Overdose Response is to support improving health care in rural areas by addressing their immediate and short-term needs related to the provision of substance use disorder services. RCORP â€“ Overdose Response aims to reduce and prevent the risk of overdoses in rural areas.</t>
  </si>
  <si>
    <t>Addiction Medicine Fellowship Program</t>
  </si>
  <si>
    <t>Private institutions of higher education You can apply if your organization is a U.S.-based sponsoring institution (or parent institution of the sponsoring institution) of an accredited addiction medicine or accredited addiction psychiatry fellowship program, or a consortium (consisting of at least one domestic teaching health center and the sponsoring institution) of a domestic addiction medicine or addiction psychiatry fellowship program. The sponsoring institution must be accredited by the Accreditation Council of Graduate Medical Education (ACGME). You must provide documentation of your ACGME accreditation in addiction medicine as Attachment 1. Types of eligible organizations If otherwise eligible, these types of domestic* organizations may apply. Public institutions of higher education Private institutions of higher education Nonprofits with or without a 501(c)(3) IRS status For-profit organizations Native American tribal governments Native American tribal organizations Individuals are not eligible applicants under this NOFO. Domestic means the 50 states, the District of Columbia, the Commonwealth of Puerto Rico, the Northern Mariana Islands, American Samoa, Guam, the U.S. Virgin Islands, the Federated States of Micronesia, the Republic of the Marshall Islands, and the Republic of Palau.</t>
  </si>
  <si>
    <t>The purpose of the AMF program is to expand the number of fellows at accredited addiction medicine and addiction psychiatry fellowship programs trained as addiction medicine specialists. These fellows will practice in medically underserved, community-based settings that integrate primary care with mental health disorder and substance use disorder (SUD) prevention and treatment services. The fellowship must include training in prevention and treatment services in medically underserved community-based settings, including in rural areas, that have limited or no access to SUD prevention or treatment. The AMF program trains both addiction medicine and addiction psychiatry fellows.</t>
  </si>
  <si>
    <t>Primary Care Training and Enhancement Residency Training in Street Medicine (PCTE-RTSM)</t>
  </si>
  <si>
    <t>Nonprofits that do not have a 501(c)(3) status with the IRS, other than institutions of higher education You can apply if your organization is an accredited public or nonprofit private hospital, school of medicine or osteopathic medicine, or a public or private nonprofit entity which the Secretary has determined is capable of carrying out such grant or contract, which for this NOFO is an entity that operates an ACGME-accredited primary care residency training program. Types of eligible organizations If otherwise eligible, these types of domestic* organizations may apply. Public institutions of higher education. Private nonprofit institutions of higher education. Nonprofits with or without a 501(c)(3) IRS status. Individuals are not eligible applicants under this NOFO. Domestic means located in the 50 states, the District of Columbia, the Commonwealth of Puerto Rico, the Northern Mariana Islands, American Samoa, Guam, the U.S. Virgin Islands, the Federated States of Micronesia, the Republic of the Marshall Islands, and the Republic of Palau.</t>
  </si>
  <si>
    <t>The purpose of the Primary Care Training and Enhancementâ€”Residency Training in Street Medicine (PCTE-RTSM) Program is to enhance training in street medicine for residents enrolled in accredited primary care residency programs. Awardees may use funds to support enrolled Graduate Medical Education (GME) residents.</t>
  </si>
  <si>
    <t>APEX Accelerator Program Open Announcement for Massachusetts and Indiana</t>
  </si>
  <si>
    <t>DOD-AMC-ACCAPGADA</t>
  </si>
  <si>
    <t>ACC-APG-Aberdeen Division A</t>
  </si>
  <si>
    <t>Public and State controlled institutions of higher education See funding opportunity for details.</t>
  </si>
  <si>
    <t>This funding opportunity is for new cooperative agreement awards to eligible entities to serve the states of Massachusetts or Indiana.</t>
  </si>
  <si>
    <t>Rural and Tribal Assistance Pilot Program NOFO</t>
  </si>
  <si>
    <t>DOT-DOT X-50</t>
  </si>
  <si>
    <t>69A345 Office of the Under Secretary for Policy</t>
  </si>
  <si>
    <t>City or township governments Department of Hawaiian Home Lands. Additional information on eligible applicants for this Program is included in the Notice of Funding Opportunity.</t>
  </si>
  <si>
    <t>The purpose of this notice is to solicit applications for Rural and Tribal Assistance (RTA) Pilot Program grants. A total of $27 million is available to award for planning and design phase activities for developing transportation projects in rural or tribal communities. Grants will support hiring staff or expert firms to provide technical, legal, or financial assistance to advance transportation projects that would be reasonably expected to be eligible for select Department of Transportation discretionary grant or credit programs. There is no local match required to participate in this program.  
Grants are awarded on a first-come, first-served basis to eligible applicants with an eligible project who meet the merit criteria described in the Notice of Funding Opportunity. The application form to apply for Program funding will be available beginning at 2:00 p.m. ET on March 4, 2025 on the Program's webpage: https://www.transportation.gov/buildamerica/RuralandTribalGrants. This is the only place where applications can be submitted and will be accepted. Do not submit applications through grants.gov. A pdf (one each for Single Project and Multi-Community grants) of the application questions is included in the NOFO package available under the "Related Documents" tab of this grants.gov page and is also available on the Program's webpage link above. 
Two types of grants will be awarded: Single Project grants and Multi-Community grants, which will fund projects in, at minimum, three separate communities submitted under a single application. 
 Single Project grants: $10 million available to award 
 Min. award amount: $200,000 
 Max. award amount: $750,000 
 Multi-Community grants: $17 million available to award 
 Min. award amount: $500,000 
 Max. award amount: $2.25 million 
$10 million of Program funding is set aside for tribal governments. 
Applicants are strongly encouraged to apply early, given the first-come, first-served award process. The application portal will close at 4:59 p.m. ET on April 3, 2025; however, award funding may be committed before this date. 
** The Infrastructure Investment and Jobs Act (Public Law 117-58, also referred to as the Bipartisan Infrastructure Law or BIL) is a generational investment in the nationâ€™s transportation system. Section 21205 of Division B of the BIL (Rural and Tribal Infrastructure Advancement) creates a pilot program to provide grants to fund financial, technical, and legal assistance to states and rural and tribal communities.</t>
  </si>
  <si>
    <t>Next Generation of Academia-Based Cyber Research, Development, and Demonstration (RD D)</t>
  </si>
  <si>
    <t>Next Generation of Academia-Based Cyber Research, Development, and Demonstration (RD&amp;D)
University-Based R&amp;D program NOFO will support efforts to efficiently develop and ultimately integrate cybersecurity tools and technologies into energy infrastructure for enhanced resilience. This open NOFO is structured to cover a 5-year period, allowing for ongoing participation and evaluation.</t>
  </si>
  <si>
    <t>FY25 U.S. Department of Justice Coordinated Tribal Assistance Solicitation</t>
  </si>
  <si>
    <t>Others (see text field entitled "Additional Information on Eligibility" for clarification) Consortia consisting of two or more federally recognized Indian Tribes; Tribal designees are eligible for certain activities related to OVC PA #6</t>
  </si>
  <si>
    <t>The Coordinated Tribal Assistance Solicitation (CTAS) responds to tribal leadersâ€™ requests to improve and simplify the DOJ grant-making process. Since fiscal year (FY) 2010, DOJ has combined existing tribal government-specific competitive funding opportunities into one and required only one application from each tribe or tribal consortium under CTAS. This approach provides federally recognized tribes and tribal consortia the opportunity to develop a comprehensive approach to public safety and victimization issues.
The FY 2025 CTAS refers to DOJâ€™s tribal government-specific competitive grant programs as purpose areas (PA). Applicants may select the PA(s) that best address their tribeâ€™s concerns about public safety; criminal and juvenile justice; substance use-related crime and access to treatment and recovery support, including Tribal healing to wellness courts; and the needs of victims and survivors of domestic violence, sexual assault, dating violence, and stalking. The DOJ components offering tribal government grant resources through the PAs are listed below.
Applicants should refer to the Purpose Area Specific information on focus areas/funding priorities and allowable and unallowable costs that may inform the development of their project design.</t>
  </si>
  <si>
    <t>ROSES 2024: E.9 Space Biology: Research Studies</t>
  </si>
  <si>
    <t xml:space="preserve">NOTICE: Amended January 28, 2025. The due dates for Step-1 and Step-2 proposals have been delayed: Step-1 proposals are now due February 25, 2025, and Step-2 proposals are now due May 20, 2025. In addition, eligibility criteria have been added to Section 1, eligibility of applicants for Early Career Investigations in Section 2.2.2 has been clarified, Section 2.1.2 (Space Crops) has been clarified regarding the types of organisms that can be used, and in Section 3.2.2.3, the link for the BPS Data Management Policy has been replaced with the link for the BPS Data Management Webpage, that houses the policy document in question. New text is in bold and deleted text is struck through. 
ï»¿The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</si>
  <si>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E.12 Physical Sciences Research Studies</t>
  </si>
  <si>
    <t xml:space="preserve">NOTICE: Amended January 28, 2025. The due dates for Step-1 and Step-2 proposals have been delayed: Step-1 proposals are now due February 25, 2025, and Step-2 proposals are now due May 20, 2025. Additionally, eligibility criteria have been added to Section 1, the eligibility of applicants for New NASA Investigators in Section 2.2.2 has been clarified, and in Section 3.2.2.3, the link for the BPS Data Management Policy has been replaced with the link for the BPS Data Management Webpage, that houses the policy document in question. New text is in bold and deleted text is struck through. 
ï»¿The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</si>
  <si>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Nursing Workforce Diversity (NWD) Program</t>
  </si>
  <si>
    <t>State governments These types of domestic* organizations may apply. Public institutions of higher education Private institutions of higher education Nonprofits having a 501(c)(3) IRS status Nonprofits with an IRS status other than 501(c)(3) State and local governments, including the District of Columbia, domestic territories, and freely associated states County governments City, local, or township governments Special district governments Independent school districts Native American tribal governments Native American tribal organizations Domestic means located in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</si>
  <si>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purpose of the Nursing Workforce Diversity (NWD) program is to increase nursing education opportunities for individuals who are from disadvantaged backgrounds (including racial and ethnic minorities underrepresented among registered nurses). The program uses comprehensive, evidence-based strategies to provide more inclusive and culturally aligned nursing education environments that will support students from disadvantaged backgrounds. Please refer to the Bureau of Health Workforce Glossary for program terms applicable to this Notice of Funding Opportunity (i.e., disadvantaged background, underrepresented minority).</t>
  </si>
  <si>
    <t>Postdoctoral Training in General, Pediatric, and Public Health Dentistry</t>
  </si>
  <si>
    <t>Others (see text field entitled "Additional Information on Eligibility" for clarification) You can apply if you are an entity that has:  An accredited dental or dental hygiene program or  An approved residency or advanced education program in general, pediatric, or public health dentistry.  If you are eligible, you may partner with a school of public health to provide a masters degree in public health to dental students, residents, and dental hygiene students. Individuals and for-profit entities are not eligible applicants under this NOFO.</t>
  </si>
  <si>
    <t>The purpose of the Postdoctoral Training in General, Pediatric, and Public Health Dentistry (PDD) program is to improve access to and delivery of oral health care services in rural and underserved communities. If you receive this grant, you will support innovative postdoctoral dental residency and fellowship training programs at community-based organizations (CBOs) to prepare general, pediatric, and public health dentists to practice and lead new models of oral health care delivery. A community-based organization is a community-based, ambulatory patient care center that operates a primary care dentistry training program. Funded grant training activities must start by the beginning of the second budget period, July 1, 2026. You must conduct your project in one or more of the following three focus areas:
 â€¢
 Rural training sites.
 â€¢
 Underserved populations.
 â€¢
 A dental public health residency program.</t>
  </si>
  <si>
    <t>Child Protection Activity</t>
  </si>
  <si>
    <t>USAID-WAF</t>
  </si>
  <si>
    <t>West Africa USAID-Ghana</t>
  </si>
  <si>
    <t>Others (see text field entitled "Additional Information on Eligibility" for clarification) Eligibility for this NOFO is not restricted. It is open to all entities that can meet the requirements to receive USAID assistance. Organizations eligible to apply under this NOFO include, but are not necessarily limited to, U.S. and non-US non-profit or for profit non-governmental organizations (NGOs), private voluntary organizations, foundations, colleges and universities, civic groups, community institutions, philanthropic organizations, advocacy groups and faith-based organizations. All listed categories of organizations including faith-based entities are eligible to apply for federal financial assistance on the same basis as any other organization and are subject to the protections and requirements of Federal law.Additionally, USAID welcomes applications from organizations that have not previously received financial assistance from USAID.For profit applicants should note that USAID policy prohibits the payment of fee/profit to the prime recipient under grants and cooperative agreements.</t>
  </si>
  <si>
    <t>USAID will support implementing partners who can identify and propose evidence-based, child-centered interventions that strengthen systems, communities and families, and enhance the resilience of families to provide safe and nurturing care for their children.The activity will support interventions that align with the U.S. Government's Advancing Protection and Care for Children in Adversity Strategy, the 2020 - 2025 USAID Ghana Country Development Cooperation Strategy (CDCS), and the Government of Ghanaâ€™s strategic plans on child protection, development, and care such as the Early Childhood Care and Development Policy, the Child and Family Welfare Policy, the National Strategic Framework on Ending Child Marriage in Ghana, and the National Care Reform Roadmap, Ghana Accelerated Action Plan Against Child Labor, among others. The activity will be implemented in selected areas in Northern, North-East, Savannah, Upper East, and Greater Accra regions.</t>
  </si>
  <si>
    <t>Partnership to Advance Conservation Science and Practice</t>
  </si>
  <si>
    <t>The U.S. National Science Foundation (NSF) and the Paul G. Allen Family Foundation (the foundation) are continuing their partnership to support this program, to be administered by NSF, supporting conservation science and science-informed conservation practice in the United States. The objective of the PACSP Program is to support conservation research that investigates organismal biology, ecology, and/or evolution and is designed to contribute to the development and implementation of evidence-based activities and/or technology solutions to advance biodiversity conservation. We seek proposals that involve the implementation of conservation activities based on conservation science principles via academic-conservation organization partnerships. The strongest projects will involve ongoing assessment of biodiversity outcomes, for instance via an adaptive management framework, that inform both scientific understanding and conservation actions. Proposals submitted to the PACSP program must make clear and well-defined connections between basic research questions and the implementation of conservation focused actions.
The Program's focus is on conservation goal-related research that will directly translate to on-the-ground biodiversity conservation efforts. Proposals that adopt a convergent approach between a changing environment, conservation, and the health of ecosystems and the organisms therein are especially encouraged. Proposals are also expected to incorporate project outcomes within the context of broader societal impacts and, as appropriate for the research proposed, engage non-academic partners in collaboration.
For proposals recommended for funding, NSF will fund the proposed research scope, and the foundation will fund the proposed conservation component of the project.</t>
  </si>
  <si>
    <t>Tribal Maternal, Infant, and Early Childhood Home Visiting Program Grants</t>
  </si>
  <si>
    <t>HHS-ACF</t>
  </si>
  <si>
    <t>Administration for Children and Families</t>
  </si>
  <si>
    <t>Others (see text field entitled "Additional Information on Eligibility" for clarification) Eligible applicants are federally recognized Indian tribes (or consortium of tribes), tribal organizations, and urban Indian organizations, as defined by section 4 of the IndianHealth Care Improvement Act, Public Law 94-437. Indian tribe  means any Indian tribe, band, nation, or other organized group or community, including any Alaska Native village or group or regional or village corporation as defined in or established pursuant to the Alaska Native Claims Settlement Act (85 Stat. 688), which is recognized as eligible for the special programs and services provided by the United States to Indians because of their status as Indians;  Tribal organization  means the elected governing body of any Indian tribe or any legally established organization of Indians that is controlled by one or more such bodies or by a board of directors elected or selected by one or more such bodies (or elected by the Indian population to be served by such organization) and that includes the maximum participation of Indians in all phases of its activities; and Urban Indian organization  means a nonprofit corporate body situated in an urban center, governed by an urban Indian controlled board of directors, and providing for the maximum participation of all interested Indian groups and individuals, which body is capable of legally cooperating with other public and private entities for the purpose of performing the activities described in section 503(a). Applications from individuals (including sole proprietorships) and foreign entities are not eligible and will be disqualified from the merit review and funding under this funding opportunity.</t>
  </si>
  <si>
    <t>The Office of Early Childhood Development (ECD) within the Administration for Children and Families (ACF) will be soliciting applications for the Fiscal Year 2025 Tribal Maternal, Infant, and Early Childhood Home Visiting (MIECHV) Grant Program. Funds will support 5-year cooperative agreements between ACF and federally recognized Indian tribes (or a consortium of Indian tribes), tribal organizations, or urban Indian organizations interested in developing, implementing, sustaining, or expanding an evidence-based home visiting program serving expectant families and families with young children aged birth to kindergarten. Awards will support implementation of high-quality, culturally grounded, evidence-based home visiting services to American Indian and Alaska Native (AIAN) families and children; implementation of performance measurement and continuous quality improvement systems; development of early childhood systems; and participation in research and evaluation activities to build evidence around home visiting, particularly in tribal communities.Home visiting programs are intended to promote outcomes such as improved maternal and prenatal health, infant health, and child health and development; reduced child maltreatment; improved parenting practices related to child development outcomes; improved school readiness; improved family socio-economic status; improved coordination of referrals to community resources and supports; and reduced incidence of injuries, crime, and domestic violence. The goals of the Tribal MIECHV program are to support healthy, happy, successful AIAN children and families through a coordinated, high-quality, culturally grounded, evidence-based home visiting strategy; to continue to build the evidence base for home visiting in tribal communities; and to support coordination among early childhood programs serving AIAN families and development of early childhood systems.</t>
  </si>
  <si>
    <t>Changing Health Systems Using Evidence-based interventions to increase Colorectal Cancer Screening</t>
  </si>
  <si>
    <t>HHS-CDC-NCCDPHP</t>
  </si>
  <si>
    <t>Centers for Disease Control - NCCDPHP</t>
  </si>
  <si>
    <t xml:space="preserve">City or township governments </t>
  </si>
  <si>
    <t>This announcement funds recipients who will partner with health systems and primary care clinics with low colorectal cancer (CRC) screening prevalence. Recipients will work with their partners to use evidence-based interventions (EBIs) to increase screening in people aged 45 to 75 years old. The focus is on populations that have low screening prevalence and experience barriers to screening.   Partner clinics must have screening prevalence below the national, regional, or local average. Programs should emphasize identifying populations that have lower screening prevalence or clinic sub-populations who may need more support to complete the screening process.   To implement the program recipients will do all the following:   Establish partnerships with health systems and primary care clinics to implement at least three multicomponent EBIs recommended in The Community Guide. These EBIs must focus on different areas of the clinical system (such as increasing demand, increasing access, and increasing delivery of screening recommendations).  Establish partnerships with organizations that support implementing EBIs, improving data collection, and enhancing use of electronic health records (EHRs) in primary care clinics to increase CRC screening.  Conduct a formal readiness assessment of each partner clinicâ€™s capacity to implement EBIs. Use this assessment to select EBIs that will support improved CRC screening.  Make sure clinics have a CRC screening champion in the clinic. Use a limited amount of funding to pay for stool-based testing in partner clinics and to ensure follow-up colonoscopies occur after a positive or abnormal screening test, as a payor of last resort.  Submit high-quality, clinic-level data, including baseline and annual CRC screening prevalence, aggregate data on stool-based tests provided to and returned by patients, and aggregate data on follow-up colonoscopies including those supported by the program.  Make sure health systems and clinics develop the capacity to collect data and track the entire CRC screening process patients undergo.  Submit one success story every six months.  Plan and complete an evaluation of program activities and submit an annual evaluation report.</t>
  </si>
  <si>
    <t>NIOSH Underground Mine Evacuation Technologies and Human Factors Research</t>
  </si>
  <si>
    <t>Nonprofits having a 501(c)(3) status with the IRS, other than institutions of higher education Only one application per institution is allowed. The CDC/NIOSH will not accept duplicate or highly overlapping applications under review at the same time. This means that the CDC/NIOSH will not accept: (1) A new (A0) application that is submitted before issuance of the summary statement from the review of an overlapping new (A0) or resubmission (A1) application; (2) A resubmission (A1) application that is submitted before issuance of the summary statement from the review of the previous new (A0) application; (3) An application that has substantial overlap with another application pending appeal of initial peer review. The congressional intention is that the award goes to a U.S. academic institution that (1) offers an ABET-accredited undergraduate degree program in mining or mineral engineering (under the Mining and Similarly Named Engineering Programs criteria) and (2) graduate degree programs in both mining and explosives engineering. Note to Applicants: Applicants should submit documentation of (1) an ABET-accredited undergraduate degree program in mining or mineral engineering (under the Mining and Similarly Named Engineering Programs criteria) and (2) graduate degree programs in both mining and explosives engineering to establish eligibility.</t>
  </si>
  <si>
    <t>The purpose of this Notice of Funding Opportunity Announcement (NOFO) is to solicit meritorious applications from U.S. academic institutions that offer graduate degree programs in both mining and explosives engineering. This NOFO seeks to support research specifically focused on underground mine evacuation technologies and human factors related to mine emergencies, building on NIOSH's efforts to meet the mandates of the Mine Improvement and New Emergency Response Act of 2006, which aims to advance the safety and health of mine workers in the United States. Research priorities include developing new wireless communication devices and methodologies; developing training, systems, and tools to facilitate miner self-escape; and continuing to improve the design of refuge alternatives. Possible research topics of interest may include other health and safety issues in related areas, particularly those associated with mine emergencies caused by mine fires and explosions. Interested applicants are encouraged to consider aspects of their graduate degree programs in mining and explosives engineering, including unique facilities, that could best support research related to mine emergencies and other aspects of the MINER Act. A key factor of this announcement is the congressional intention that the award goes to a U.S. academic institution that (1) offers an Accreditation Board for Engineering and Technology, Inc. (ABET)-accredited undergraduate degree program in mining or mineral engineering (under the Mining and Similarly Named Engineering Programs criteria) and (2) offers graduate degree programs in both mining and explosives engineering.</t>
  </si>
  <si>
    <t>Tribal Self-Governance Planning Cooperative Agreement Program</t>
  </si>
  <si>
    <t>HHS-IHS</t>
  </si>
  <si>
    <t>Indian Health Service</t>
  </si>
  <si>
    <t>Native American tribal organizations (other than Federally recognized tribal governments) Under this announcement, an applicant must be one of the following as defined under 25 U.S.C. 1603:   Applicant must be an  Indian Tribe  as defined in 25 U.S.C. 5304(e); a  Tribal Organization  as defined in 25 U.S.C. 5304(l); or an  Inter-Tribal Consortium  as defined at 42 CFR 137.10. Please note that Tribes prohibited from contracting pursuant to the Indian Self-Determination and Education Assistance Act are not eligible. See section 424(a) of the Consolidated Appropriations Act, 2014, Public Law No. 113-76, as amended by section 428 of the Consolidated Appropriations Act, 2018, Public Law No. 115-141, and section 1201 of the Consolidated Appropriations Act, 2021, Public Law No. 116-260.   Pursuant to 25 U.S.C. 5383 (c)(1)(B), applicant must request participation in self-governance by resolution or other official action by the governing body of each Indian Tribe to be served.   Pursuant to 25 U.S.C. 5383 (c)(1)(C), applicant must demonstrate financial stability and financial management capability for 3 consecutive fiscal years.</t>
  </si>
  <si>
    <t>The purpose of this Planning Cooperative Agreement is to provide resources to Tribes interested in entering the Tribal Self-Governance Program (TSGP) and to existing Self-Governance Tribes interested in assuming new or expanded Programs, Services, Functions, and Activities (PSFA). Title V of the Indian Self-Determination and Education Assistance Act requires a Tribe or Tribal organization (T/TO) to complete a planning phase to the satisfaction of the Tribe. The planning phase must include legal and budgetary research and internal Tribal government planning and organizational preparation relating to the administration of health care programs. See 25 U.S.C. 5383(d). The planning phase is critical to negotiations and helps Tribes make informed decisions about which PSFAs to assume and what organizational changes or modifications are necessary to successfully support those PSFAs. A thorough planning phase improves timeliness and efficient negotiations and ensures that the Tribe is fully prepared to assume the transfer of IHS PSFAs to the Tribal health program.</t>
  </si>
  <si>
    <t>Tribal Self-Governance Negotiation Cooperative Agreement Program</t>
  </si>
  <si>
    <t>Native American tribal governments (Federally recognized) Under this announcement, an applicant must be one of the following as defined under 25 U.S.C. 1603:   Applicant must be an  Indian Tribe  as defined in 25 U.S.C. 5304(e); a  Tribal Organization  as defined in 25 U.S.C. 5304(l); or an  Inter-Tribal Consortium  as defined at 42 CFR 137.10. Please note that Tribes prohibited from contracting pursuant to the Indian Self-Determination and Education Assistance Act are not eligible. See section 424(a) of the Consolidated Appropriations Act, 2014, Public Law No. 113-76, as amended by section 428 of the Consolidated Appropriations Act, 2018, Public Law No. 115-141, and section 1201 of the Consolidated Appropriations Act, 2021, Public Law No. 116-260.   Pursuant to 25 U.S.C. 5383 (c)(1)(B), applicant must request participation in self-governance by resolution or other official action by the governing body of each Indian Tribe to be served.   Pursuant to 25 U.S.C. 5383 (c)(1)(C), applicant must demonstrate financial stability and financial management capability for 3 consecutive fiscal years.</t>
  </si>
  <si>
    <t>The purpose of this Negotiation Cooperative Agreement is to provide Tribes with resources to help defray the costs associated with preparing for and engaging in Tribal Self-Governance Program (TSGP) negotiations. TSGP negotiations are a dynamic, evolving, and tribally driven process that requires careful planning, preparation, and sharing of precise, up-to-date information by both Tribal and Federal parties. Because each Tribal situation is unique, a Tribeâ€™s successful transition into the TSGP, or expansion of their current program, requires focused discussions between the Federal and Tribal negotiation teams about the Tribeâ€™s specific health care concerns and plans. One of the hallmarks of the TSGP is the collaborative nature of the negotiations process, which is designed to: 1) enable a Tribe to set its own priorities when assuming responsibility for IHS Programs, Services, Functions, and Activities (PSFA); 2) observe and respect the government-to-government relationship between the U.S. and each Tribe; and 3) involve the active participation of both Tribal and IHS representatives, including the Office of Tribal Self-Governance. Negotiations are a method of determining and agreeing upon the terms and provisions of a Tribeâ€™s Compact and FA, the implementation documents required for the Tribe to enter into the TSGP. The Compact sets forth the general terms of the government-to-government relationship between the Tribe and the Secretary of the U.S. Department of Health and Human Services (HHS). The FA: 1) describes the length of the agreement (whether it will be annual or multi-year); 2) identifies the PSFAs, or portions thereof, the Tribe will assume; 3) specifies the amount of funding associated with the Tribal assumption; and 4) includes terms required by Federal statutes and other terms agreed to by the parties. Both documents are required to participate in the TSGP and they are mutually negotiated agreements that become legally binding and mutually enforceable after both parties sign the documents. Either document can be renegotiated at the request of the Tribe.</t>
  </si>
  <si>
    <t>Engaging Students in English</t>
  </si>
  <si>
    <t>DOS-LUX</t>
  </si>
  <si>
    <t>U.S. Mission to Luxembourg</t>
  </si>
  <si>
    <t>Others (see text field entitled "Additional Information on Eligibility" for clarification) The following organizations are eligible to apply:   U.S. or Luxembourgish not-for-profit, including think tanks and civil society/non-governmental organizations.   Public and private educational institutions.   Public international organizations and governmental institutions.   Individuals (If applying as an individual, you must include in your application an explanation of why you are uniquely qualified as an individual applicant.) *U.S. organizations applying for funding must partner with a Luxembourgish organization. *</t>
  </si>
  <si>
    <t>The Public Diplomacy Section of the U.S. Embassy in Luxembourg announces an open competition for organizations to submit Statements of Interest (SOI) to carry out programs strengthening bilateral ties between the United States and Luxembourg Engaging Students in English. 
The U.S. Embassy Luxembourg invites proposals from non-governmental organizations, think tanks, government institutions, academic institutions, and individuals for programs strengthening the bilateral ties between the United States and Luxembourg and Engaging Students in English, including, but not limited to: 
 Programs focused on strengthening specific English language skills or professional English capacity of students, such as public-speaking, debate, theater/drama. 
 Programs that enhance and promote the English-teaching profession and community, such as trainings, workshops, or conferences for English educators in Luxembourg. 
 English-language programs for underprivileged groups including but not limited to patrons of organizations, such as shelters for refugees, women, abuse victims or childrenâ€™s organizations. 
 Educational programs such as English-language camps, academic competitions, conferences, workshops, courses, exhibits, performances, etc. 
 Projects that share American best practices in English-language education by bringing U.S. experts to engage with students and teachers in Luxembourg.  
ï»¿All programs must engage Luxembourg audiences. All programs must include a U.S. element or connection with U.S. experts that will promote increased understanding of U.S. policy and perspectives. Any speaker paid with grant funding must hold U.S. citizenship. 
Please review the complete NOFO on the Funding Opportunities page on our website: or in the related documents tab on the announcement on grants.gov for information on how to submit a Statement of Interest.</t>
  </si>
  <si>
    <t>Remembering our Shared History</t>
  </si>
  <si>
    <t>Others (see text field entitled "Additional Information on Eligibility" for clarification) The following organizations are eligible to apply:   U.S. or Luxembourgish not-for-profit, including think tanks and civil society/non-governmental organizations.   Public and private educational institutions.   Public international organizations and governmental institutions.   Individuals (If applying as an individual, you must include in your application an explanation of why you are uniquely qualified as an individual applicant.) *U.S. organizations applying for funding must partner with a Luxembourgish organization.*</t>
  </si>
  <si>
    <t>The Public Diplomacy Section of the U.S. Embassy in Luxembourg announces an open competition for organizations to submit Statements of Interest (SOI) to carry out programs strengthening bilateral ties between the United States and Luxembourg on Remembering our Shared History. 
The U.S. Embassy Luxembourg invites proposals from non-governmental organizations, think tanks, government institutions, academic institutions, and individuals for programs strengthening the bilateral ties between the United States and Luxembourg and Remembering our Shared History, including, but not limited to: 
 Programs that highlight significant WWII events, â€˜untold storiesâ€™, and any elements of U.S.-Luxembourg collaboration that provide unique context, perspective, and meaning to the long-standing alliance between the Unites States and Luxembourg. 
 Programs focused on youth and youth education to ensure the memory of WWII is not forgotten by the younger generations in Luxembourg. 
 Programs that foster truthful recognition and remembrance of the tragedies of the Second World War and particularly the Holocaust 
 Program activities such as historical/cultural exhibits, film screenings (movies/documentaries) and lecture series, book discussions, various media platforms (broadcast media, social media, etc.) and other types of public outreach campaigns. 
All programs must engage Luxembourg audiences. All programs must include a U.S. element or connection with U.S. experts that will promote increased understanding of U.S. policy and perspectives. Any speaker paid with grant funding must hold U.S. citizenship. 
Please review the complete NOFO on the Funding Opportunities page on our website: or in the related documents tab on the announcement on grants.gov for information on how to submit a Statement of Interest.</t>
  </si>
  <si>
    <t>Bolstering Security and Defense</t>
  </si>
  <si>
    <t>Others (see text field entitled "Additional Information on Eligibility" for clarification) The following organizations are eligible to apply:_x000D_
  U.S. or Luxembourgish not-for-profit, including think tanks and civil society/non-governmental organizations._x000D_
  Public and private educational institutions._x000D_
  Public international organizations and governmental institutions._x000D_
  Individuals (If applying as an individual, you must include in your application an explanation of why you are uniquely qualified as an individual applicant.)_x000D_
_x000D_
*U.S. organizations applying for funding must partner with a Luxembourgish organization. *</t>
  </si>
  <si>
    <t>The Public Diplomacy Section of the U.S. Embassy in Luxembourg announces an open competition for organizations to submit Statements of Interest (SOI) to carry out programs strengthening bilateral ties between the United States and Luxembourg on Bolstering Security and Defense. 
The U.S. Embassy Luxembourg invites proposals from non-governmental organizations, think tanks, government institutions, academic institutions, and individuals for programs strengthening the bilateral ties between the United States and Luxembourg and Bolstering Security and Defense, including, but not limited to: 
 Programs that raise awareness and increase support for U.S.-Luxembourg defense cooperation, with an emphasis on NATO, defense spending, and defense modernization. 
 Programs to counter disinformation, misinformation, and malign influence as threats to democracy as well as those that promote and improve media literacy and research security in Luxembourg. 
 Programs that raise awareness and support for increased information sharing and cooperation in law enforcement and intelligence, with an emphasis on cybersecurity and countering ideologically-motivated violent extremism. 
 Projects that support addressing global challenges through building strong global alliances, for example through: NATO, the United Nations, and other multi-lateral institutions and forums. 
All programs must engage Luxembourg audiences. All programs must include a U.S. element or connection with U.S. experts that will promote increased understanding of U.S. policy and perspectives. Any speaker paid with grant funding must hold U.S. citizenship. 
Please review the complete NOFO on the Funding Opportunities page on our website: or in the related documents tab on the announcement on grants.gov for information on how to submit a Statement of Interest.</t>
  </si>
  <si>
    <t>Accelerating STEM and Space Ambitions</t>
  </si>
  <si>
    <t>Others (see text field entitled "Additional Information on Eligibility" for clarification) The following organizations are eligible to apply:_x000D_
  U.S. or Luxembourgish not-for-profit, including think tanks and civil society/non-governmental organizations._x000D_
  Public and private educational institutions._x000D_
  Public international organizations and governmental institutions._x000D_
  Individuals (If applying as an individual, you must include in your application an explanation of why you are uniquely qualified as an individual applicant.)_x000D_
_x000D_
*U.S. organizations applying for funding must partner with a Luxembourgish organization.*</t>
  </si>
  <si>
    <t>The Public Diplomacy Section of the U.S. Embassy in Luxembourg announces an open competition for organizations to submit Statements of Interest (SOI) to carry out programs strengthening bilateral ties between the United States and Luxembourg on Accelerating STEM and Space Ambitions. 
The U.S. Embassy Luxembourg invites proposals from non-governmental organizations, think tanks, government institutions, academic institutions, and individuals for programs strengthening the bilateral ties between the United States and Luxembourg and Accelerating STEM and Space Ambitions, including, but not limited to: 
 Programs that raise awareness about space and satellite technology, space exploration, biotechnology, and emerging technologies. This could include: educational programs for young people, trainings for educators, public debates, exhibits, speakers, etc. 
 Educational programs with a focus on interactive STEM skills, such as computer programming, coding, and robotics, or programs about space, cybersecurity, biotechnology, etc. 
 Projects that share American best practices in STEM and technological innovation, including space research, biotechnology, and cybersecurity by bringing U.S. experts to engage with Luxembourg audiences. 
All programs must engage Luxembourg audiences. All programs must include a U.S. element or connection with U.S. experts that will promote increased understanding of U.S. policy and perspectives. Any speaker paid with grant funding must hold U.S. citizenship. 
Please review the complete NOFO on the Funding Opportunities page on our website: or in the related documents tab on the announcement on grants.gov for information on how to submit a Statement of Interest.</t>
  </si>
  <si>
    <t>High-Assay Low-Enriched Uranium (HALEU) Nuclear Fuel Supply Chain Innovative Technology Notice of Funding Opportunity (NOFO)</t>
  </si>
  <si>
    <t>High-Assay Low-Enriched Uranium (HALEU) Nuclear Fuel Supply Chain Innovative Technology Notice of Funding Opportunity:
This Notice Of Funding Opportunity (NOFO) seeks applications to address technological advancement across the front-end nuclear fuel cycle to ensure the development of a safe, sustainable and efficient supply chain of enriched uranium, enhancing current processes, and addressing technology gaps
â€¢	Topic Area 1: Up to two Demonstration Project awards 
â€¢	Topic Area 2: Four to ten Research and Development Project awards</t>
  </si>
  <si>
    <t>Rural Health Network Development Planning Program</t>
  </si>
  <si>
    <t>Others (see text field entitled "Additional Information on Eligibility" for clarification)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Federally Qualified Health Centers (FQHC)  Community health centers  Rural Health Clinics (RHCs)  Hospitals  Rural Emergency Hospitals ? Native American tribal governments ? Native American tribal organizations Tribal exception: HRSA is aware that tribes and tribal organizations may have an established infrastructure without separation of services recognized by filing for EINs or UEI. In case of tribes and tribal governments, only a single EIN or UEI located in a HRSA-designated rural area is necessary to meet the network requirements. Tribes and tribal entities under the same tribal governance must still meet the network criteria of three or more entities under the single EIN or UEI. Each tribe or tribal entity must be committed to the proposed approach as evidenced by a signed letter of commitment. Please see the Tribal EIN/UEI exception request attachment for information on how to request this exception. * Domestic means the fifty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</si>
  <si>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Rural Health Network Development Planning Program supports the planning and development of rural integrated health care networks with specific focus on collaboration of entities to establish or improve local capacity and care coordination in underserved communities. Specifically, the program uses the concept of developing networks as a strategy for linking rural health care network participants together to achieve greater collective capacity to overcome local challenges, expand access and improve the quality of care in the rural communities these organizations serve.
 The program helps network participants work together on three legislative aims:
 â€¢
 Achieve efficiencies.
 â€¢
 Expand access to, coordinate, and improve the quality of basic health care services and associated health outcomes.
 â€¢
 Strengthen the rural health care system as a whole.
 The intent is that rural health networks will do the following:
 â€¢
 Expand access to care.
 â€¢
 Increase the use of health information technology.
 â€¢
 Explore alternative health care delivery models.
 â€¢
 Continue to achieve quality health care across the continuum of care.</t>
  </si>
  <si>
    <t>FY2024 Historic Preservation Fund - Semiquincentennial Grants</t>
  </si>
  <si>
    <t>State governments Eligible applicants are State governments, local governments, nonprofits (including non-profit institutions of higher education), and Federally Recognized Indian Tribes, Alaskan Natives, and Native Hawaiian Organizations as defined by 54 USC 300300. Sites or collections owned or leased by the NPS, or in which the NPS holds a property interest are not eligible.Important noteProperties must be listed in or eligible for listing in the National Register of Historic Places at the time of application. Properties must be listed in the National Register at the conclusion of the grant. Priority will be given to state-owned properties per Congressional direction.</t>
  </si>
  <si>
    <t>The National Park Serviceâ€™s (NPS) Semiquincentennial Grant Program will support the physical preservation of a broad variety of cultural resources associated with the founding of America as a nation in commemoration of the country's semiquincentennial (250th anniversary).  These grants are funded by the Historic Preservation Fund (HPF), administered by the NPS, and will fund physical preservation to properties listed in or eligible for the National Register of Historic Places, including buildings, sites, structures, objects, or historic districts. Grants are awarded through a competitive process and do not require non-Federal match, though match may be considered as a competitive factor.  State owned properties will receive priority per Congressional directive.</t>
  </si>
  <si>
    <t>Annual Program Statement 2025</t>
  </si>
  <si>
    <t>DOS-ZAF</t>
  </si>
  <si>
    <t>U.S. Mission to South Africa</t>
  </si>
  <si>
    <t>Others (see text field entitled "Additional Information on Eligibility" for clarification) Only non-profit organizations are eligible to apply. This includes civil society/non-governmental organizations, non-profit public and private educational institutions, non-profit think tanks, etc. South African applicants with a proven track record may be given priority.</t>
  </si>
  <si>
    <t>The U.S. Mission to South Africa Public Diplomacy Section (PDS) of the U.S. Department of State is pleased to announce its Annual Program Statement (APS) for Fiscal Year 2025. Awards will be approved for amounts less than $25,000 each, based on funding availability.The application process includes two phases: In the first, streamlined phase, applicants should submit project ideas in the form of concept notes. Following review of each concept note, the U.S. Mission will invite applicants with promising concept notes to submit full project proposals for further consideration. Specific instructions will be provided to those applicants selected for submission of a full proposal.Please read this notice of funding opportunity (NOFO) carefully. It outlines PDS funding priorities, the strategic lines of focus, and the procedures for submitting funding proposals.</t>
  </si>
  <si>
    <t>Public Wireless Supply Chain Innovation Fund Grant Program - Software Solutions for Industry Verticals and Integration Automation</t>
  </si>
  <si>
    <t>DOC-NTIA</t>
  </si>
  <si>
    <t>National Telecommunications and Information Admini</t>
  </si>
  <si>
    <t>Others (see text field entitled "Additional Information on Eligibility" for clarification) Eligibility varies for each SRFA. SRFA 1 applicants must meet the eligibility requirements listed in Section 2.2. SRFA 2 applicants must meet the eligibility requirements listed in Section 3.2.</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</si>
  <si>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</si>
  <si>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DE-FOA-0003535 Request for Information (RFI): Defining Sustainable Maritime Fuels in the United States</t>
  </si>
  <si>
    <t>An Action Plan for Maritime Energy and Emissions Innovation (Action Plan) calls for the Federal government to define Sustainable Maritime Fuel (SMF) in 2025. As described in the Action Plan, the maritime industry cannot rely solely on drop-in fuel replacements, so vessels must look towards alternative energy sources such as clean methanol, ammonia, hydrogen, electrification, and efficiency improvements as the industry moves towards zero- and near zero-emission fuels. This action is key to evaluating many subsequent goals in the plan pertaining to future production volumes of SMFs. It will also help to align community, industry, government, financiers, and other maritime stakeholders regarding what qualifies as a SMF. This alignment will help to advance technology and investment with a consistent understanding of future maritime fuels.
This Request for Information (RFI) seeks to engage industry, government, and maritime stakeholders for feedback on how to define â€œSustainable Maritime Fuel.â€
While this RFI is being published by the U.S. Department of Energy (DOE), DOE is also working with other agencies to support the development of an SMF definition; these agencies include but are not limited to the U.S. Department of Transportation, the U.S. Department of Agriculture, the Department of State, and the Environmental Protection Agency. This collaborative effort seeks feedback on a variety of aspects that may affect the eventual SMF definition, including but not necessarily limited to: minimum carbon intensity reductions, sustainability factors, criteria air pollutant inclusion (e.g. NOx, SOx, and particulate matter), acceptable feedstocks, how to align with global requirements (e.g. International Maritime Organization (IMO) and FuelEU), and whether accounting for emission reduction technologies (such as onboard carbon capture) should be included.
Responses to this RFI must be submitted electronically to DefiningSMF@ee.doe.gov no later than 5:00pm (ET) on February 28, 2025. Responses must be provided as attachments to an email. It is recommended that attachments with file sizes exceeding 25MB be compressed (i.e., zipped) to ensure message delivery. Responses must be provided as a Microsoft Word (.docx) attachment to the email, and no more than 3 pages in length, 12 point font, 1 inch margins. Only electronic responses will be accepted.
This is solely a request for information and not a Notice of Funding Opportunity (NOFO). EERE is not accepting applications.
Please see the full RFI document at EERE-Exchange.Energy.gov.</t>
  </si>
  <si>
    <t>HEAL Initiative: Translating Research to Practice to End the Overdose Crisis (R33 Clinical Trial Optional)</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</si>
  <si>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</si>
  <si>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RFA will act as a parent RFA for the HEAL initiative Translation to Practice Team, specifically encouraging translational dissemination and implementation research focused on addressing overdose deaths and the intersection of pain and OUD. This RFA will function in tandem with targeted NOSIs that announce more specific areas of focus. For FY25, this currently includes the Workforce NOSI, the Exposure to Violence NOSI, and the Leveraging Inpatient Hospitalizations NOSI.  It has a companion R61/R33 RFA.</t>
  </si>
  <si>
    <t>HEAL Initiative: Translating Research to Practice to End the Overdose Crisis (R61/R33 Clinical Trial Optional)</t>
  </si>
  <si>
    <t>Nonprofits having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</si>
  <si>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RFA will act as a parent RFA for the HEAL initiative Translation to Practice Team,  specifically encouraging translational dissemination and implementation research focused on addressing overdose deaths and the intersection of pain and OUD. This RFA will function in tandem with targeted NOSIs that announce more specific areas of focus. For FY25, this currently includes the Workforce NOSI, the Exposure to Violence NOSI, and the Leveraging Inpatient Hospitalizations NOSI.  It has a companion R33 RFA.</t>
  </si>
  <si>
    <t>Strategy to Deliver Evidence-Based Falls Prevention Programs to Older Adults with Behavioral Health and Chronic Conditions</t>
  </si>
  <si>
    <t>Public and State controlled institutions of higher education Foreign entities are not eligible to compete for, or receive, awards made under this announcement. Faith-based and community organizations that meet the eligibility requirements are eligible to receive awards under this funding opportunity announcement.</t>
  </si>
  <si>
    <t>The purpose of this funding opportunity is to develop and implement robust statewide strategy that support the delivery and sustainability of falls prevention evidence-based programs for older adults and adults with disabilities who are at risk of social isolation and falls. The project will be person-centered, trauma informed, and culturally appropriate to meet the needs of the target population. It will require the awardee to develop partnerships and work collaboratively with organizations that serve particular populations. Goals include:Goal 1: On a statewide level, develop capacity (e.g., instructors, partnerships, and referral networks) to increase the number of older adults and adults with disabilities, identified from target population, who participate in group evidence-based falls prevention programs to empower them to reduce falls and/or their risk of falls.Goal 2: Develop and disseminate 508-compliant resources specific to grant learnings to enhance knowledge in the target population and aid in the sustainability of evidence-based falls prevention programs. The Administration on Aging (AoA), part of the Administration for Community Living (ACL), plans to award 4 cooperative agreements with a three-year project period, subject to availability of funds.</t>
  </si>
  <si>
    <t>Expanding Strategies for Community Evidence-Based Falls Prevention Programming</t>
  </si>
  <si>
    <t>State governments Foreign entities are not eligible to compete for, or receive, awards made under this announcement. Faith-based and community organizations that meet the eligibility requirements are eligible to receive awards under this funding opportunity announcement.</t>
  </si>
  <si>
    <t>PurposeThe intent of this funding opportunity is to award entities to focus on specific targeted partnerships and innovative strategies to reduce falls and/or falls risk among the majority being older adults (60 years and older) and adults with disabilities, with a focus on those with greatest social and/or greatest economic needs (i.e., target population for this Funding) through the implementation of evidence-based falls prevention programs with an innovative person-centered approach.This funding opportunity has two goals:Goal 1: Develop an innovative fall prevention method that includes targeted partnerships and outreach to recruit the target population into small group in-person evidence-based falls prevention programs.Goal 2: Design an evaluation of your intervention to assess the impact of the effort on reducing falls and/or the risk of falls, and develop and disseminate 508-compliant program results, resources, lessons learned, and process documents to inform practice, service delivery, program development and/or policymaking for other organizations to replicate this approach, to include a comprehensive list of partnerships developed.The Administration on Aging (AoA), part of the Administration for Community Living (ACL), plans to award 2 cooperative agreements with a three-year project period, subject to availability of funds.</t>
  </si>
  <si>
    <t>Healthy Tomorrows Partnership for Children Program (HTPCP)</t>
  </si>
  <si>
    <t>State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</si>
  <si>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The purpose of the Healthy Tomorrows Partnership for Children Program (HTPCP) is to support community-based projects that promote access to preventive clinical and public health services for underserved children.</t>
  </si>
  <si>
    <t>Develop and Test HIV Prevention Interventions for Black and Hispanic Gay, Bisexual, and Other Men Who Have Sex with Men Who Use Substances</t>
  </si>
  <si>
    <t>Native American tribal governments (Federally recognized) N/A</t>
  </si>
  <si>
    <t>The purpose of this Notice of Funding Opportunity (NOFO) is to support pilot research to develop and test behavioral implementation strategies for biomedical interventions (e.g., oral PrEP, condoms) to improve HIV and STI prevention implementation among disproportionately affected populations, especially Black/African American (Black) and Hispanic/Latino (Hispanic) gay, bisexual, and other men who have sex with men (MSM) without HIV who report substance use (drug or alcohol). The study design and sample size should meet minimum requirements for consideration of the CDC Compendium of Best Evidence (https://www.cdc.gov/hivpartners/php/compendium/) and thus may have the potential for future CDC HIV prevention funding implementation in jurisdictions around the United States. The applicants should have access to research participants in priority jurisdictions outlined in Ending the HIV Epidemic in the United States (EHE), in support of the goals of EHE (Ending the HIV Epidemic in the US (EHE) | EHE Initiative | CDC), the HIV National Strategic Plan for the United States: A Roadmap to End the HIV Epidemic (2021-2025) (https://www.cdc.gov/nchhstp/media/pdfs/2024/08/hiv-national-strategic-plan-2021-2025.pdf), and other federal prevention planning efforts.</t>
  </si>
  <si>
    <t>Office of Special Programs (OSEP): Training and Information for Parents of Children with Disabilities: Parent Training and Information Centers CFDA Number 84.328M</t>
  </si>
  <si>
    <t>Others (see text field entitled "Additional Information on Eligibility" for clarification) Eligible Applicants:  Parent organizations.Note:  Section 671(a)(2) of the Individuals with Disabilities Education Act (IDEA) defines a  parent organization  as a private nonprofit organization  (other than an institution of higher education (IHE)) that-- (a)  Has a board of directors--(1)  The majority of whom are parents of children with disabilities ages birth through 26;(2)  That includes--(i)  Individuals working in the fields of special education, related services, and early intervention; and(ii)  Individuals with disabilities; and(3)  The parent and professional members of which are broadly representative of the population to be served, including low-income parents and parents of limited English proficient children; and(b)  Has as its mission serving families of children with disabilities who are ages birth through 26 and have the full range of disabilities described in section 602(3) of IDEA.</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</si>
  <si>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the Special Education Parent Information Centers program is to ensure that parents of children with disabilities receive high-quality, relevant, and useful training and information to help improve outcomes for their children. 
Assistance Listing Number (ALN) 84.328M. 
 </t>
  </si>
  <si>
    <t>Continuation of the NIDDK Hematology Central Coordinating Center (U24 Clinical Trial Not Allowed)</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</si>
  <si>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</si>
  <si>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Notice of Funding Opportunity (NOFO) requests applications for the Hematology Central Coordinating Center (HCCC) for the NIDDK Hematology Centers Program. The HCCC is expected to work collaboratively with 4-5 Cooperative Centers of Excellence in Hematology (CCEHs) as part of the NIDDK Hematology Centers Program and serve as a national resource for the larger nonmalignant hematology research community. The HCCC will provide central administrative and communications support for the NIDDK Hematology Centers Program and operate a Pilot and Feasibility Program, supporting pilot research studies that will lead to larger research projects. All activities within the Program are expected to address the overall goal of supporting the national multidisciplinary research effort to combat nonmalignant hematologic diseases and/or tostudy normal hematopoiesis.</t>
  </si>
  <si>
    <t>Coastal Habitat Restoration and Resilience Grants for Tribes and Underserved Communities, Under the BIL Round 3</t>
  </si>
  <si>
    <t>For profit organizations other than small businesses Eligible applicants are tribes, applicants that can demonstrate status as a tribal entity, an underserved community (see definitions in Section I.A.), or entities that partner with tribes, tribal entities, and/or underserved communities such as institutions of higher education, non-profit organizations, commercial (for profit) organizations, U.S. territories, and state, local, and Native American and Alaska Native tribal governments. As part of their applications, applicants must demonstrate their status as, or connection to, a tribe, tribal entity, and/or an underserved community. This status or connection will be reviewed by NOAA as part of the initial eligibility review, and through the application merit review process. NOAA will validate the applicant s description against publicly available demographic and economic data. Up to 15% of the funding in this opportunity is only available to Indian tribes (as defined in 25 U.S.C. Section 5304 (e)) and Native American organizations that represent Indian tribes through formal legal agreements (e.g. tribal commissions, tribal consortia, tribal conservation districts, and tribal cooperatives). Funding to Indian tribes and Native American organizations may be direct awards or subawards. 25 U.S.C Section 5304 (e) states that  Indian tribe  or  Indian Tribe  means any Indian tribe, band, nation, or other organized group or community, including any Alaska Native village or regional or village corporation as defined in or established pursuant to the Alaska Native Claims Settlement Act (85 Stat. 688) [43 U.S.C. 1601 et seq.], which is recognized as eligible for the special programs and services provided by the United States to Indians because of their status as Indians. Applicants demonstrating a connection to a tribe, tribal entity and/or an underserved community may do this through proposed subawards, contracts, informal collaboration, or other engagement with, or approval of, one or more tribes, tribal entities, and/or underserved communities. The application will be evaluated based on the strength of the partnership with the underserved community or communities. The partner submitting the application is required to provide supporting documentation in the application demonstrating that they have been endorsed by one or more tribes, tribal entities, and/or underserved communities for the specific work proposed. The documentation may be provided in the form of letters of support from one or more tribes, tribal entities, and/or underserved communities for the specific work proposed, and should be attached with other Supplemental Materials. Applications from federal agencies or employees of federal agencies will not be considered. However, federal agencies or employees may serve as unfunded collaborative project partners. Foreign entities should participate as partners (contractors, sub-recipients, or informal collaborators) of a prime recipient based in the U.S. Applicants must propose work in coastal, estuarine, marine, or Great Lakes areas (see Section I.A. for a definition of coastal areas). Eligible applicants for Great Lakes projects must propose work within the Great Lakes basin within one of the eight U.S. Great Lakes states (New York, Pennsylvania, Ohio, Michigan, Indiana, Illinois, Wisconsin, and Minnesota). Applications that propose projects in the Commonwealth and Territories of the United States, for this funding opportunity defined as American Samoa, Guam, Northern Mariana Islands, U.S. Virgin Islands, and Puerto Rico, are eligible, but those in the Freely Associated States (the Republic of the Marshall Islands (RMI), Palau, and the Federated States of Micronesia) are not eligible to submit an application.</t>
  </si>
  <si>
    <t>The principal objective of this funding opportunity is to support opportunities for tribes, and/or tribal entities, and underserved communities to meaningfully engage in coastal habitat restoration activities. NOAA anticipates up to $20 million will be available under this opportunity, of which up to 15% will specifically be available as direct awards and subawards to Indian tribes (as defined in 25 U.S.C. Section 5304 (e)) and Native American organizations that represent Indian tribes through formal legal agreements (e.g. tribal commissions, tribal consortia, tribal conservation districts, and tribal cooperatives). The remaining funding will be available to all eligible applicants. Funding will prioritize capacity building, meaningful engagement, and restoration project activities that enhance resilience of tribes, tribal entities, and underserved communities and have the greatest potential to lead to habitat restoration in coastal, estuarine, marine, and Great Lakes areas. This funding opportunity is authorized under the Infrastructure Investment and Jobs Act (Bipartisan Infrastructure Law) (BIL, Public Law 117-58), 135 STAT. 1356 (Nov. 15, 2021). This funding opportunity does not have a formal matching requirement. Projects that are most responsive to the program priorities will be more competitive. Potential activities include: 1) capacity building, which may include (but is not limited to) participation in municipal or regional-scale resilience planning, project planning and feasibility studies, stakeholder engagement, proposal development for future funding, and outreach and education, as well as hiring of staff to increase capacity to support the planning, design and implementation of restoration actions, as well as capacity to support overall award management including tracking, reporting, and project coordination/development; 2) meaningful engagement, which may include (but is not limited to) engaging the community through educational opportunities, community discussions, and/or paid experiences that support the successful execution of the proposed project activities; 3) restoration project activities, including for demonstration projects, which may include engineering and design, permitting, on-the-ground restoration, and pre- and post project implementation monitoring. Competitive applications will directly benefit tribes or underserved communities. Applicants may apply for funding to support one or more of these activities. This funding opportunity supports NOAAâ€™s efforts to enhance coastal resilience. Coastal areas support the nationâ€™s largest and often fastest-growing population centers, as well as key natural assets. Strengthening coastal resilience means preparing and adapting coastal communities to mitigate the impacts of and more quickly recover after extreme events such as hurricanes, coastal storms, flooding, and sea level rise. Habitat restoration and natural and nature-based solutions are critical to doing so by: protecting lives and property; sustaining commercial, recreational, and subsistence fishing; recovering threatened and endangered species; and maintaining and fostering vibrant coastal economies and lifestyles. This funding opportunity â€“ along with those for National Oceans and Coastal Security Fund Grants, Climate Resilience Regional Challenge Grants, Transformational Habitat Restoration and Coastal Resilience Grants, Coastal Zone Management, and National Estuarine Research Reserves â€“ aims to fund projects that enhance coastal resilience. This funding opportunity in particular focuses on building organizational and technical capacity and/or supporting restoration activities that benefit tribes, tribal entities, and/or underserved communities and enhance their resilience to climate hazards. Through this funding opportunity, NOAA offers funding for tribes, tribal entities, and/or underserved community applicants to meaningfully engage their communities through outreach and education throughout the project. Meaningful engagement ensures community members are integral to the visioning, decision-making, and leadership for coastal habitat restoration projects that may affect their environment, and/or health and well-being. For applicants demonstrating a connection to tribes, tribal entities, and/or underserved communities, meaningful engagement of tribes, tribal entities, and/or underserved communities is intended to ensure that community members are integral to the visioning, decision-making, and leadership for coastal habitat restoration projects; to ensure that the scope of such projects are inclusive of the priorities and needs of communities; and/or to ensure that the benefits of such projects flow back to tribes, tribal entities, or underserved communities. NOAA is committed to the goals of advancing equity and support for underserved communities. NOAA encourages applicants to include and demonstrate principles of diversity, equity, inclusion, and accessibility through proactive, meaningful, and equitable community engagement in the identification, design, and/or implementation of proposed projects. NOAA also encourages applicants to appropriately consider and elevate local or Indigenous knowledge in project design, implementation, and evaluation. Applicants should identify if the project is located within tribal or underserved communities and/or whether a portion of the resilience benefits from the proposed work will flow to tribes, tribal entities, or underserved communities. This program will advance the Biden/Harris Administrationâ€™s Justice40 Initiative. Established by Executive Order 14008 on Tackling the Climate Crisis at Home and Abroad, the Justice40 Initiative set the goal that 40 percent of the overall benefits of certain federal investments, such as climate, clean energy, and other areas, flow to disadvantaged communities that are marginalized and overburdened by pollution and underinvestment. Proposals selected for funding through this opportunity will be funded through cooperative agreements. NOAA encourages a period of performance of up to three years, with the potential for up to five years, if necessary and approved by NOAA. NOAA anticipates typical federal funding for awards will range from $250,000 to $1 million over three years. NOAA will not accept proposals with a total federal funding request of less than $75,000 or more than $2 million for the entire award. Projects requesting the upper limit of funding are expected to implement restoration actions in addition to capacity-building and meaningful engagement, versus being solely focused on capacity-building and/or meaningful engagement activities. Priority will be given to activities with the highest certainty to occur within a 2-3 year award period. Funds will be administered by the NOAA Office of Habitat Conservation, as directed by the Bipartisan Infrastructure Law.</t>
  </si>
  <si>
    <t>Model Continuums of Care Initiative (MCCI) to Advance Health Equity and End Health Disparities Among Women and Girls in Racial/Ethnic Minority and Other Underserved Communities (U34 Clinical Trials Required)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</si>
  <si>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</si>
  <si>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The purpose of this NOFO is to support the planning phase of the Model Continuums of Care Initiative (MCCI) to Advance Health Equity and End Health Disparities Among Women and Girls in Racial/Ethnic Minority and Other Underserved Communities.  MCCI is a multi-ICO dissemination and implementation science initiative to advance health equity and end health disparities in racial/ethnic minority women and girls of reproductive age.  Specifically, the Model Continuums of Care Initiative will apply the latest dissemination and implementationscience approaches to significantly reduce the prevalence and impact of multi-morbidity among racial/ethnic minority women and girls of reproductive age at risk and living with mental health disorders, substance use disorders, chronic stress, cardiopulmonary diseases, common metabolic disorders (e.g., diabetes), cancer, and HIV/AIDS.  This concept proposes a continuum of care approach that integrates preventive health services, primary care, behavioral health, integrative care, and cardiopulmonary and endocrine specialties to fully address health care needs in each of these domains, and to have maximum impact on the overall health and well-being ofracial and ethnic minority and other underserved women and girls.  While MCCI is not a maternal health initiative, women and girls ages 15-44 yrs. are centered because it is during the early reproductive period, i.e., adolescence, that multimorbidity typically begins and rapidly progresses, setting the stage for multiple chronic debilitating conditions in later life.  Special emphasis will be placed on using stakeholder partnerships, provider training, and infrastructure changes to improve access for subgroups of racial/ethnic minority women and girls who currently have the least access to high quality health care (e.g., racial/ethnic minority women and girls living in low resource settings).</t>
  </si>
  <si>
    <t>Materials Innovation Platforms</t>
  </si>
  <si>
    <t>Others (see text field entitled "Additional Information on Eligibility" for clarification) *Who May Submit Proposals: Proposals may only be submitted by the following:
  -
Institutions of Higher Education (IHEs)accredited in, and having a campus located in the U.S., acting on behalf of their faculty members.
*Who May Serve as PI:
Each proposed project must be directed by a team of at least three Senior/Key Personnel with complementary expertise on materials synthesis/processing, characterization, theory/modeling/simulation, etc.</t>
  </si>
  <si>
    <t>Materials Innovation Platforms (MIP) is a mid-scale infrastructure program in the Division of Materials Research (DMR) designed to accelerate advances in materials research. MIPs respond to the increasing complexity of materials research that requires close collaboration of interdisciplinary and transdisciplinary teams and access to cutting edge tools. These tools in a user facility benefit both a user program and in-house research, which focus on addressing grand challenges of fundamental science and meet national needs. MIPs embrace the paradigm set forth by the Materials Genome Initiative (MGI), which strives to  discover, manufacture, and deploy advanced materials twice as fast, at a fraction of the cost,  and conduct research through iterative   efforts among the areas of materials synthesis/processing, materials characterization, and theory/modeling/simulation. In addition, they are expected to engage the emerging field of data science in materials research. Each MIP is a scientific ecosystem, which includes in-house research scientists, external users and other scientists who, collectively, form a community of practitioners and share tools, codes, samples, data and know-how. The knowledge sharing is designed to strengthen collaborations among scientists and enable them to work in new ways, fostering new modalities of research and training, for the purpose of accelerating discovery and development of new materials and novel materials phenomena/properties, as well as fostering their eventual deployment.
The scientific focus of the MIP program is subject to change from competition to competition. Information about the existing MIPs, from two previous competitions in 2015 and 2019, can be found at mip.org. The third MIP competition, in 2025, will accept proposals on alloys, amorphous, and composite materials. Given that the second MIP competition included an emphasis on biomaterials and polymer research, proposals mainly on these topics will not be considered in the third MIP competition.</t>
  </si>
  <si>
    <t>PEP Packs: Postexposure Prophylaxis Packs for Immediate Access to HIV and Sexually Transmitted Infection Prevention</t>
  </si>
  <si>
    <t>For profit organizations other than small businesses N/A</t>
  </si>
  <si>
    <t>The purpose of this notice of funding opportunity (NOFO) is to support an implementation research study. In this study, optimal strategies will be assessed for a postexposure prophylaxis (PEP) in pocket (PiP) approach for prevention of HIV and sexually transmitted infections (STIs) among disproportionately affected populations, for example, gay, bisexual, and other men who have sex with men (MSM) and transgender women (TGW). The recipient will implement and evaluate a comprehensive strategy to integrate PEP packs as a component of existing PrEP and STI clinical services. PEP packs will include a supply of antiretroviral medication for nonoccupational PEP (nPEP), doxycycline for STI PEP (DoxyPEP), HIV and STI self-test kits, and instruction materials. Study clinics should be in communities with high rates of HIV diagnoses among disproportionately affected populations, for example, Black and Hispanic MSM and TGW.</t>
  </si>
  <si>
    <t>ROSES 2024: A.65 Responsive Science Initiatives Research</t>
  </si>
  <si>
    <t xml:space="preserve">Amended January 15, 2025. The due date for the (optional) Notice of Intent has been delayed to January 31, 2025. Proposals are still due March 25, 2025. 
Please note that this program requests optional Notices of Intent, which are due via NSPIRES by January 31, 2025. See the full posting on NSPIRES for details. 
Proposers must retrieve the instructions document (zip file) associated with the application package for this opportunity as there is at least one required form that must be attached to the submitted proposal package. Application will be posted at https:///www.grants.gov/ only if you make a request to the point of contact listed below (with cc to sara@nasa.gov) at least 30 days in advance of the due date.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</si>
  <si>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Global Health Security</t>
  </si>
  <si>
    <t>USAID-PHI</t>
  </si>
  <si>
    <t>Philippines USAID-Manila</t>
  </si>
  <si>
    <t>Others (see text field entitled "Additional Information on Eligibility" for clarification) Set-aside for local organizations, please see section C.1.</t>
  </si>
  <si>
    <t>The purpose of Addendum 6 - GHS is to develop sub-national capacity (regional, provincial, city, municipal, and barangays) to prevent, detect, and respond to emerging and re-emerging infectious diseases, including antimicrobial resistance (AMR), through a One Health approach. The initiative will focus on enhancing political commitment, accountability, monitoring and evaluation practices, and the overall capacity of the health sector. It aims to develop and implement comprehensive action plans for health security, improve multi-sectoral coordination, and optimize preparedness and response to emerging and re-emerging infectious diseases, including zoonoses and AMR. Endemic diseases are not a priority for this activity.The purpose of the Amendment 1 to the Addendum 6 is to: (a) correct the year of the Questions Submission Closing Date and Addendum Submission Deadline in the attachment document; and (b) update status of the Joint External Evaluation. The specific change in the document are highlighted in yellow. All other terms in the Addendum not highlighted remain the same from the original posting.</t>
  </si>
  <si>
    <t>Field Initiated Projects Program: Minority-Serving Institutions (MSI) - Development</t>
  </si>
  <si>
    <t>Others (see text field entitled "Additional Information on Eligibility" for clarification) Parties eligible to apply for FIP - MSI grants are limited to minority entities and Indian Tribes as authorized by Section 21 (b)(2)(A) of the Rehabilitation Act. A minority entity is defined as a Historically Black College or University (HCBU) (a part B institution, as defined in Section 322(2) of the Higher Education Act of 1965, as amended), a Hispanic-serving institution of higher education, an American Indian tribal college or university, or another IHE whose minority student enrollment is at least 50 percent. NIDILRR is especially interested in applications from individual minority entities that have historically been underrepresented in the Federal research arena. Foreign entities are not eligible to compete for, or receive, awards made under this announcement.</t>
  </si>
  <si>
    <t>The purpose of the Field Initiated Projects (FIP) program is to generate new knowledge through research or to develop methods, procedures, and rehabilitation technologies -- to maximize the full inclusion and integration into society, employment, independent living, family/caregiver support, and economic and self-sufficiency of people with disabilities, especially people with the greatest support needs. Another purpose of this grant opportunity is to improve the capacity of minority serving institutions (MSI) to conduct high-quality disability and rehabilitation research and development. In carrying out a development project under a FIP development grant, a grantee must use knowledge and understanding gained from research to create materials, devices, systems, methods, measures, techniques, tools, prototypes, processes, or intervention protocols that are beneficial to the target population. Please note that this will be the funding opportunity for FIP-MSI Development proposals. We will invite FIP-MSI Research proposals under a separate announcement. NIDILRR plans to make four FIP-MSI awards. Grants will have a 36- month project period, with three 12-month budget periods. NIDILRR's FIP-MSI grants will include a combination of research applications and development applications, depending on the combined ranking of individual research and development applications by the peer review panel.</t>
  </si>
  <si>
    <t>Sea Grant Programs Only - FY2025 Enhancing Knowledge of Aquaculture Technologies, Practices, and Businesses</t>
  </si>
  <si>
    <t>Others (see text field entitled "Additional Information on Eligibility" for clarification) The following entities are eligible to submit to this opportunity: Sea Grant College Programs, Sea Grant Institutional Programs, and Sea Grant Coherent Area Programs.</t>
  </si>
  <si>
    <t>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communities.Subject to the availability of funding, the National Sea Grant Office (NSGO) anticipates that approximately $500,000 will be available to Sea Grant Programs to provide opportunities for researchers (faculty, undergraduate and graduate students, post-doctoral individuals), Sea Grant extension personnel, and aquaculture community members, or a mixture of participants, to enhance knowledge of aquaculture technologies, production practices and systems, businesses, or other associated topics pertinent to the species or species group of interest to participants. The goal of this opportunity is that participants will utilize the knowledge and expertise gained through their travel experiences in their approach to improve aquaculture research, extension, or aquaculture production, or business activities that will benefit the U.S. coastal, marine, and Great Lakes aquaculture communities. Awards will be made for no more than $75,000 in federal funds per project for a duration of up to one year. Available funding can be used to support travel costs, salary, and costs associated with outreach activities following travel. Travel must be focused on visiting aquaculture sites or facilities, either public or private. Funding for research activities is not permitted through this announcement. Successful applications will: identify, justify, and describe the need or needs to be addressed regarding improvement of aquaculture research, extension, production, or business activities, describe and document the proposed plan regarding how the proposed travel activities will address the identified need or needs, describe how the proposed activities will enhance aquaculture-related activities of project participants, and describe how the proposed activities will benefit the U.S. aquaculture community. Please note that it is envisioned that this funding opportunity, with potential variation in total funding available, will be reinstated annually, contingent on available funding. These investments are consistent with Sea Grantâ€™s focus area of Sustainable Fisheries and Aquaculture (SFA) and the Sea Grant Networkâ€™s 10-year Aquaculture Vision, and support NOAA and Department of Commerce aquaculture goals. The following entities are eligible to submit to this opportunity: Sea Grant College Programs, Sea Grant Institutional Programs and Sea Grant Coherent Area Programs. For the remainder of this document, these entities are collectively referred to as â€œSea Grant Programsâ€. A Sea Grant Program may submit more than one application. Programs are encouraged to partner with other Sea Grant Programs and/or other entities such as individuals, State and Tribal Agencies/Organizations, HBCUs/MSIs, NGOs, aquaculture industry members and associations,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International travel is permitted, however international travel must conform to guidelines specified by the Fly America Act. Applicants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NOAA-OAR-SG-2025-29573.</t>
  </si>
  <si>
    <t>Health Promotion and Disease Prevention Research Centers: 2025 Special Interest Project Competitive Supplements (SIPS)</t>
  </si>
  <si>
    <t>Others (see text field entitled "Additional Information on Eligibility" for clarification) Applicants must be approved for funding under CDC Notice of Funding Opportunity RFA-DP-24-004 Health Promotion and Disease Prevention Research Centers in order to apply for SIP supplemental funding under this announcement. On the SIP applicant's SF424 (R R), the institution's legal name, EIN, and UEI (sections 8a, b and c of SF424) must match the information of the institution selected for funding under RFA-DP-24-004 as listed in the Notice of Award. Special eligibility may apply to each SIP that will be listed in the NOFO. The 20 institutions currently approved for funding under CDC RFA-DP-24-004 as CDC Prevention Research Centers (PRCs) are: CDC Grant # PRC Recipient U48 DP006809 Emory University; U48 DP006803 Georgia State University; U48 DP006785 Harvard School of Public Health; U48 DP006802 Morehouse School of Medicine; U48 DP006778 New York University School of Medicine;  U48 DP006816 San Diego State University; U48 DP006799 University of Arizona; U48 DP006814 University of Arkansas for Medical Sciences; U48 DP006806 University of California, San Francisco; U48 DP006812 University of Iowa; U48 DP006808 University of Massachusetts Medical School Worcester; U48 DP006791 University of Michigan at Ann Arbor; U48 DP006787 University of Minnesota; U48 DP006807 University of North Carolina at Chapel Hill; U48 DP006801 University of Pennsylvania; U48 DP006792 University of Pittsburgh; U48 DP006779 University of Rochester; U48 DP006780 University of South Carolina at Columbia; U48 DP006789 University of Utah; and U48 DP006793 University of Wisconsin-Madison.</t>
  </si>
  <si>
    <t>This NOFO will provide supplemental funding to CDC Prevention Research Centers (PRCs) to conduct Special Interest Projects (SIPs).  The purpose of the SIPs is to inform public health practice through high-quality applied health promotion and disease prevention public health research in real-world settings to identify, design, test, assess, evaluate, disseminate, and translate interventions (i.e., programs, practices, policies, or strategies) and tools or resources to prevent and reduce risk for the leading causes of illness, disability, and death in the United States. The seven SIPs that will be included in this NOFO are: (1) Validating survey questions on prostate cancer screening including PSA testing and shared decision-making; (2) Prostate cancer active surveillance identification using electronic health record; (3) Practice-based evidence on approaches for accurate identification and appropriate selection of individuals for lung cancer screening; (4) Lifestyle Change Implementation Research Network (LCIRN); (5) Understanding the potential of early childcare and education (ECE) centers in promoting childhood vaccines and RSV prevention products; (6) Overdose Prevention and Treatment Research Network (OPTRN) ; and (7) Scaling What Works within the National Comprehensive Cancer Control Program.</t>
  </si>
  <si>
    <t>Field Initiated Projects Program: Minority-Serving Institutions (MSI) -Research</t>
  </si>
  <si>
    <t>Others (see text field entitled "Additional Information on Eligibility" for clarification) Parties eligible to apply for MSI FI grants are limited to minority entities and Indian Tribes as authorized by Section 21 (b)(2)(A) of the Rehabilitation Act of 1973, as amended. A minority entity is defined as a Historically Black College or University (HCBU) (a part B institution, as defined in Section 322(2) of the Higher Education Act of 1965, as amended), a Hispanic-serving institution of higher education, an American Indian tribal college or university, or another IHE whose minority student enrollment is at least 50 percent. NIDILRR is especially interested in applications from individual minority entities that have historically been underrepresented in the Federal research arena.  Foreign entities are not eligible to compete for, or receive, awards made under this announcement.</t>
  </si>
  <si>
    <t>The purpose of the Field Initiated Projects (FIP) program is to generate new knowledge through research or to develop methods, procedures, and rehabilitation technologies -- to maximize the full inclusion and integration into society, employment, independent living, family/caregiver support, and economic and self-sufficiency of people with disabilities, especially people with the greatest support needs. Another purpose of this grant opportunity is to improve the capacity of minority serving institutions (MSI) to conduct high-quality disability and rehabilitation research and development. In carrying out a research project under a Field Initiated Projects research grant, a grantee must identify one or more hypotheses or research questions and, based on the hypotheses or research questions identified, perform an intensive, systematic study directed toward producing (1) new scientific knowledge, or (2) better understanding of the subject, problem studied, or body of knowledge. Please note that this will be the funding opportunity for FIP-MSI Research proposals. We will invite FIP-MSI Development proposals under a separate announcement. NIDILRR plans to make four FIP-MSI awards. Grants will have a 36-month project period, with three 12-month budget periods. NIDILRR's FIP-MSI grants will include a combination of research applications and development applications, depending on the combined ranking of individual research and development applications by the peer review panel.</t>
  </si>
  <si>
    <t>Office of Electricity (OE) and the Office of Energy Efficiency and Renewable Energy s Wind Energy Technologies Office (EERE WETO)</t>
  </si>
  <si>
    <t>Unrestricted (i.e., open to any type of entity above), subject to any clarification in text field entitled "Additional Information on Eligibility" This is a full and open competition available to the following applicants:1.	Domestic Entities2.	Incorporated Consortia3.	Unincorporated Consortia4.	Federally Funded Research and Development Center (FFRDC) Contractors are excluded as a prime.  However, FFRDC contractors may be proposed as a team member on another entity's application subject to guidelines.</t>
  </si>
  <si>
    <t>Renewable Integration Management with Innovative High Voltage Direct Current Power Circuit Breakers (REIMAGINE BREAKERS). Developing standards for High Voltage Direct Current Circuit Breakers (HV DCCB) will support the protection and interoperability of hardware within Multi-Terminal HVDC (MTDC) transmission systems and allow for seamless interconnection and coordination of HV DCCBs into existing high voltage AC   DC transmission systems. Standardization will provide key stakeholders with guidance to ensure all HV DCCBs developed are compatible with existing and future transmission networks. Additionally, the advancement of HV DCCB designs will aid in the development of novel ideas to reduce overall cost and footprint of the technology.</t>
  </si>
  <si>
    <t>Academy for Women Entrepreneurs</t>
  </si>
  <si>
    <t>Others (see text field entitled "Additional Information on Eligibility" for clarification) Only non-profit South African or U.S. organizations are eligible to apply. This includes non-profit think tanks, civil society/non-governmental organizations, and public and private educational institutions.</t>
  </si>
  <si>
    <t>The U.S. Embassy in Pretoria of the U.S. Department of State announces an open competition for organizations to submit applications to carry out a program to train 100 women entrepreneurs based in South Africa (60), Lesotho (20), and Eswatini (20). The Academy for Women Entrepreneurs is a program of the U.S. Department of State, using a hybrid model that combines online learning with in-class mentoring and facilitation. The program in South Africa is centered on the Francis and Dionne Najafi 100 Million Learners Global Initiative, an online course spearheaded by the Thunderbird School of Global Management at Arizona State University.Applicants for this notice of funding opportunity will support cohorts of women entrepreneurs in up to seven cities â€“ five in South Africa and one each in Lesotho and Eswatini. The cohorts will attend virtual, hybrid, and in-person events at American Spaces or Embassy partner locations in each city.For participation in the Najafi 100 Million Learners course, the applicant will work with the U.S. Embassy to identify an in-person U.S. government program alumni facilitator in each city to lead the participants. The coursework features eighteen modules/themes key to global entrepreneurial success in the Fourth Industrial Revolution. The program aims to provide entrepreneurs with proven 21st Century strategies for creating value through innovation in existing enterprises across the private, nonprofit and public sectors.Facilitators will also lead in-person discussions and serve as mentors for program participants. Facilitators will be alumni of related U.S. government programs and will be selected in collaboration with the U.S. Embassy or Consulate General. Facilitators will attend a pre-program training and orientation provided by the U.S. Department of Stateâ€™s Bureau of Educational and Cultural Affairs.The eventual implementing partner will need to run program launch, pitch and graduation events. These sessions are to be held in-person. The implementing partner will also work in collaboration with the U.S. Embassy to host online masterclasses led by industry experts.</t>
  </si>
  <si>
    <t>Broad Spectrum Products Against Multiple Neurotoxin Botulinum Serotypes (R61/R33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</si>
  <si>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</si>
  <si>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The purpose of this notice of funding opportunity (NOFO) is to support the development of improved products for treating Botulinum Neurotoxin (BoNT) intoxication. Development of products that can reverse BoNT intoxication are highly encouraged.
This NOFO will use a milestone-driven, biphasic award mechanism. Transition to the R33 phase will depend on the successful completion of specific milestones during the R61 phase.</t>
  </si>
  <si>
    <t>Advancing Strategies to Deliver and Sustain Evidence-Based Chronic Disease Self-Management Education Programs to Support Older Adult Behavioral Health</t>
  </si>
  <si>
    <t>Independent school districts Foreign entities are not eligible to compete for, or receive, awards made under this announcement. Faith-based and community organizations that meet the eligibility requirements are eligible to receive awards under this funding opportunity announcement.</t>
  </si>
  <si>
    <t>The purpose of this funding opportunity is to develop and implement multi-faceted strategies that support the delivery and sustainability of evidence-based chronic disease self-management education (CDSME) programs for older adults (age 60 and older) and individuals with disabilities with one or more behavioral health conditions and older adults and individuals with disabilities with one or more stressors that are negatively impacting their behavioral health through a statewide initiative. The two primary goals are:                                                                                                          Goal 1: Through a statewide initiative, develop capacity (e.g., instructors, partnerships, and referral networks) to increase the number of older adults and adults with disabilities in the target population who participate in evidence-based chronic disease self-management education (CDSME) and support programs.Goal 2: Develop and disseminate 508-compliant resources specific to your grant learnings to enhance knowledge in serving the target population and aid in the sustainability of programs.Successful applicants will also be expected to (a) Increase the number of individuals who participate in evidence-based CDSME programs, while reaching the grantâ€™s target population; (b) Increase partnerships and collaboration between the Aging and Disability Services Network, behavioral health providers, and other key organizations; and (c) Increase the knowledge of the field by developing and disseminating resources and learnings from your grant for other organizations to replicate similar projects in their communities.The Administration on Aging (AoA), part of the Administration for Community Living (ACL), plans to award 5 cooperative agreements with a three-year project period, subject to availability of funds.</t>
  </si>
  <si>
    <t>Neutralization In Challenging Environments Using Lethal Effects (NICELE)</t>
  </si>
  <si>
    <t>DOD-ONR</t>
  </si>
  <si>
    <t>Office of Naval Research</t>
  </si>
  <si>
    <t>Others (see text field entitled "Additional Information on Eligibility" for clarification) All responsible sources from academia, industry and the research community worldwide may submit proposals under this BAA. Historically Black Colleges and Universities (HBCUs) and Minority Institutions (MIs) are encouraged to submit proposals and join others in submitting proposals; however, no portion of this BAA will be set aside for HBCUs/MIs, small businesses or other socio-economic participation. All businesses, both small and large, are encouraged to submit proposals and compete for funding consideration. Federally Funded Research   Development Centers (FFRDCs), including Department of Energy National Laboratories, are not eligible to receive awards under this BAA. However, teaming arrangements between FFRDCs and eligible principal Offerors are allowed so long as such arrangements are permitted under the sponsoring agreement between the Government and the specific FFRDC. Navy laboratories, military universities and warfare centers as well as other Department of Defense and civilian agency laboratories are also not eligible to receive awards under this BAA and should not directly submit either white papers or full proposals in response to this BAA. If any such organization is interested in one or more of the programs described herein, the organization should contact an appropriate ONR Technical POC to discuss its area of interest. University Affiliated Research Centers (UARCs) are eligible to submit proposals under this BAA unless precluded from doing so by their Department of Defense UARC contract. Teams are also encouraged and may submit proposals in any areas; however, Offerors must be willing to cooperate and exchange software, data and other information in an integrated program with other contractors, as well as with system integrators, selected by ONR. Disclosures of current and pending support made in this application may render an applicant ineligible for funding. Prior to award and throughout the period of performance, DoD may continue to request updated continuing and pending support information, which will be reviewed and may result in discontinuation of funding.</t>
  </si>
  <si>
    <t>The U.S. Navyâ€™s ExMCM forces confront a wide range of hazardous and explosive threats like underwater mines and Water-borne Improvised Explosive Devices (WBIED)s. ONR seeks to develop payloads that enable ExMCM forces to neutralize deep water mines and WBIEDs. A diver and/or ROV will deliver these payloads. Technologies developed may transition to the existing EOD Maritime Expeditionary Standoff Response (MESR) program of record, which fields underwater capabilities required to counter threats in marine environments. ***Industry Day will be on 31 JAN 2025. Registration for Industry Day deadline is 10 JAN 2025.***</t>
  </si>
  <si>
    <t>Transformative Research to Address Health Disparities and Advance Health Equity (U01 Clinical Trial Optional)</t>
  </si>
  <si>
    <t>Native American tribal organizations (other than Federally recognized tribal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t>
  </si>
  <si>
    <t>The Transformative Research to Address Health Disparities and Advance Health Equity initiative is soliciting applications to support unusually innovative intervention research addressing social determinants of health (SDOH) which, if successful, would have a major impact on preventing, reducing, or eliminating health disparities and advancing health equity. Projects should clearly demonstrate, based on the strength of the logic, a compelling potential to produce a major impact on advancing NIHs commitment to addressing SDOH to accelerate progress in improving health for all. Preliminary data are not required for this initiative.</t>
  </si>
  <si>
    <t>Systems Biology Research to Advance Bioenergy Crop Production</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</si>
  <si>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1995._x000D_
_x000D_
1. DOE/National Nuclear Security Administration (NNSA) National Laboratories_x000D_
_x000D_
DOE/NNSA National Laboratories are not eligible to submit applications under this NOFO but may be proposed as subrecipients under another organization s application. If recommended for funding as a proposed subrecipient, the value of the proposed subaward will be removed from the prime applicant s award and will be provided to the laboratory through the DOE Field-Work Proposal System and work will be conducted under the laboratory s contract with DOE. No administrative provisions of this NOFO will apply to the laboratory or any laboratory subcontractor. Additional instructions for securing authorization from the cognizant Contracting Officer are found in Section IX of this NOFO._x000D_
_x000D_
2. Non-DOE/NNSA Funded Research and Development Centers (FFRDC)_x000D_
_x000D_
Non-DOE/NNSA FFRDCs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NOFO._x000D_
_x000D_
3. Other Federal Agencies_x000D_
_x000D_
Other Federal Agencies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Additional instructions for providing statutory authorization are found in Section IX of this NOFO.</t>
  </si>
  <si>
    <t>The DOE SC program in Biological and Environmental Research (BER) announces it is receiving applications for research within the Biological Systems Science Divisionâ€™s (BSSD) Genomic Science Program (GSP) (https://genomicscience.energy.gov) mission-space. In this NOFO, applications are requested for:  
Â· Systems-level research to improve understanding of the molecular mechanisms underlying bioenergy feedstock productivity under changing and at times suboptimal environmental conditions, 
Â· Systems biology-enabled investigations into the role(s) of microbes and microbial communities (including rhizosphere consortia, e.g. bacteria, fungi, diazotrophs, endophytes, viruses) in supporting plant productivity and vigor are also solicited. 
SUPPLEMENTARY INFORMATION 
Two areas vital to the Nationâ€™s energy and environmental security motivate the BER research agenda: developing cost-effective biofuels and bioproducts and improving our ability to understand, predict, and mitigate the impacts of energy production in the face of a variable environment. BER has invested in plant and plant-microbe interactions research with the goal of advancing production of biofuels/bioproducts from domestic lignocellulosic and oilseed crop sources. These efforts have increased our understanding of the biological mechanisms underlying feedstock productivity and facilitated development of next- generation bioenergy crops that utilize novel, efficient bioenergy strategies that can be replicated on a mass scale. However, several knowledge gaps and challenges remain towards attaining the goal of developing vigorous crops with superior growth and yield under varying environmental conditions. A better understanding of the underlying genetic and physiological mechanisms influencing plant productivity, resource use efficiency, and adaptation and resilience to abiotic stress are needed. Also of interest is how beneficial plant-microbe associations may enhance requisite plant processes to enable manipulation of these associations for improving plant traits. Furthermore, available computational technologies and infrastructure may provide opportunities to connect and integrate information across multiple spatial and temporal scales to better understand the behavior of complex biological systems and to develop a predictive understanding of sustainability outcomes over a range of future climate scenarios [U.S. DOE.2014. Research for Sustainable Bioenergy: Linking Genomic and Ecosystem Sciences, Workshop Report, DOE/SC-0167. U.S. Department of Energy, Office of Science. https://www.genomicscience.energy.gov/research-for-sustainable-bioenergy-linking-genomic-and-ecosystem-sciences/]. 
DOE-BERâ€™s GSP (https://genomicscience.energy.gov/) supports fundamental research to identify the basic principles that drive biological systems. These principles govern translation of the genetic code into integrated networks of proteins, enzymes, regulatory elements, and metabolite pools underlying the functional processes of organisms. The Genomic Science program aims to support the DOEâ€™s bioenergy development mission by leveraging omics-driven tools and systems biology approaches to address key challenges facing the sustainable production of bioenergy crops as an economically and environmentally viable alternative resource for fuels, chemicals, and products currently produced from fossil fuel resources. This NOFO aims to build upon the advances made since previous BER investments in this area, seeking to apply systems biology and omics technologies to map the complex networks and molecular mechanisms of bioenergy crop growth, development, and metabolism for sustainable and resilient bioenergy crop production. Understanding the multi-organismal â€œbiofuel crop+soil+microbe ecosystemâ€ presents a unique challenge, which is further complicated by environmental impacts. The ability to predict plant and microbial speciesâ€™ responses to a changing environment will be critical to understanding potential environmental impacts as well as for optimizing feedstock production.  
Applications are solicited for systems biology-driven basic research on the fundamental principles of bioenergy crop production in relationship to the associated environmental context. Species of interest include but are not limited to candidate bioenergy plants (e.g., sorghum, energy cane, Miscanthus, switchgrass, Populus) and non-food oilseed crops (e.g., Camelina). Proposed projects should be hypothesis-driven and focus on understanding productivity and the effects of abiotic stresses and nutrient availability. Such deep understanding will enable the development of bioenergy crops that are tolerant to environmental stressors, require less agronomic inputs, and are resilient and/or adaptable to varying environmental conditions.</t>
  </si>
  <si>
    <t>Data Integration, Systems, and Quality Technical Assistance (DISQ)</t>
  </si>
  <si>
    <t>State governments These types of domestic* organizations may apply: Public institutions of higher education, including academic health science centers involved in HIV-related issues on a national scope. Private institutions of higher education, including academic health science centers involved in HIV-related issues on a national scope. Non-profit organizations. State governments, including the District of Columbia, domestic territories, and freely associated states. County governments. City or township governments. Special district governments.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</si>
  <si>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Ryan White HIV/AIDS Program (RWHAP) Data Integration, Systems, and Quality Technical Assistance (DISQ) is a national training and technical assistance (T/TA) program to support RWHAP recipients and subrecipients. It funds activities to increase access to high-quality HIV care and support services for low-income people with HIV in the United States.
 The DISQ program develops and disseminates T/TA to help RWHAP recipients and subrecipients develop and implement data collection activities related to HIV care. This program will improve RWHAP recipientsâ€™ and subrecipientsâ€™ capacity to meet data-related program requirements and help them use data to make their programs more efficient and effective.
 We will award one cooperative agreement to a technical assistance provider. This provider will be responsible for on-site and virtual T/TA to RWHAP recipients and subrecipients.</t>
  </si>
  <si>
    <t>Chemical Evolution of the Solid Earth and Volcanology</t>
  </si>
  <si>
    <t>The Chemical Evolution of the Solid Earth and Volcanology (CESEV) program aims to advance fundamental knowledge about the origin and evolution of our home planet including its core, mantle, and continental crust. The program encourages a wide range of laboratory, field, experimental, theoretical, and/or computational studies that explore the continuous high-temperature igneous and metamorphic geochemical and petrologic processes that shape the Earth. Volcanology and magmatic processes, ore deposits and economic geology, and geochronology are all in the purview of this program. Research in these areas can help improve our understanding of volcanic and other natural hazards, and the distribution of mineral and other natural resources.</t>
  </si>
  <si>
    <t>NIDCR Small Research Grants for Oral Health Data Analysis and Statistical Methodology Development (R03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</si>
  <si>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</si>
  <si>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goal of this funding opportunity announcement is to support meritorious research projects that involve secondary data analyses of existing oral or craniofacial database resources, or that develop needed statistical methodology for analyzing existing dental, oral or craniofacial databases.</t>
  </si>
  <si>
    <t>Integrative Research to Understand the Impact of Sex Differences on the Molecular Determinants of AD Risk and Responsiveness to Treatment (U01 Clinical Trial Optional)</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</si>
  <si>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</si>
  <si>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This Notice of Funding Opportunity (NOFO) invites applications that employ integrative experimental and analytical approaches engaging basic and translational/clinical research aimed at developing a comprehensive understanding of the impact of sex differences on the trajectories of brain aging and disease, phenotypes of AD and AD-related dementias (ADRD) risk, individualized prevention, and responsiveness to pharmacologic and non-pharmacologic interventions. To this end, the central goal of this initiative is to develop robust research programs that will explore how genes, environment, and host factors such as hormonal status (gonadal and brain-derived) interact at various levels of biologic complexity (i.e., cell, tissue, organs/organ systems, and populations) to produce heterogeneous phenotypes of disease risk and responsiveness to prevention/therapy in AD/ADRD.</t>
  </si>
  <si>
    <t>Complement-ARIE New Approach Methodologies (NAMs) Technology Development Centers (UM1 Clinical Trial Optional)</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</si>
  <si>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apply.Foreign components, as defined in the NIH Grants Policy Statement, are allowed.</t>
  </si>
  <si>
    <t>The purpose of this Notice of Funding Opportunity (NOFO) is to establish Comprehensive NAMs Technology Development Centers to support NIH Common Funds Complement Animal Research In Experimentation (Complement-ARIE) program. The Complement-ARIE program will accelerate the development, standardization, validation, and use of human-based New Approach Methodologies (NAMs). Complement-ARIE will significantly advance understanding of human health and disease by providing a range of mature and/or validated and standardized biomedical research models.The goal of the Comprehensive NAMs Technology Development Centers is to stimulate the development of combinatorial NAMs to support scientific areas of need, with emphasis on increased biological complexity and throughput, innovative combinatorial approaches, and data sharing according to FAIR principles. Developing these NAMs will require multi-disciplinary expertise in disease research, personalized medicine, screening therapeutics for safety and efficacy, and regulatory science.</t>
  </si>
  <si>
    <t>Deriving Common Data Elements from Real-World Data for Alzheimers Disease (AD) and AD-Related Dementias (ADRD) (U24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</si>
  <si>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apply.Foreign components, as defined in the NIH Grants Policy Statement, are allowed.</t>
  </si>
  <si>
    <t>This Notice of Funding Opportunity (NOFO) invites applications that aim to develop Common Data Elements (CDEs) for NIA-funded studies on Alzheimers disease (AD) and AD-Related Dementias (ADRD) using Real-World Data (RWD) from electronic health records and claims data from Centers for Medicare and Medicaid Services (CMS). The CDEs will foster data harmonization and interoperability across and among NIA studies that involve disparate and unaligned data fields and RWD. By reducing the efforts required for data harmonization in using studies and RWD for cross-sectional and longitudinal analysis, this NOFO may enable researchers to utilize studies data and RWD more efficiently and produce real-world evidence (RWE) in a timely manner with longitudinal data from NIA-funded studies and RWD.</t>
  </si>
  <si>
    <t>2025 U.S.- Philippines Entry to the Alumni Engagement Innovation Fund (AEIF) Competition</t>
  </si>
  <si>
    <t>DOS-PHL</t>
  </si>
  <si>
    <t>U.S. Mission to the Philippines</t>
  </si>
  <si>
    <t>Others (see text field entitled "Additional Information on Eligibility" for clarification) Applicants must be organizations led by an alumnus/alumna of a U.S. government-funded exchange program (https://alumni.state.gov/list-exchange-programs), or a U.S. government-sponsored exchange program (https://j1visa.state.gov/). Only the lead applicant is required to be a member of the applying organization. Project teams are encouraged to invite alumni from different exchange programs to be part of the project, as volunteers, speakers, facilitators, etc.Alumni who are U.S. citizens may not submit proposals, but U.S. citizen alumni may participate as team members in a project. Application must be submitted by an alumnus/alumna. A non-alum staff member of the applying organization cannot submit the application.</t>
  </si>
  <si>
    <t>PROGRAM DESCRIPTION:
The Public Affairs Section (PAS) of the U.S. Embassy in the Philippines announces an open competition for past participants (â€œalumâ€ or â€œalumniâ€) of U.S. government-funded and U.S. government-sponsored exchange programs to submit applications to the 2025 U.S.- Philippines Alumni Engagement Innovation Fund (AEIF 2025).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PAS will accept public service projects proposed and managed by teams of at least two (2) alumni that support one or more of the following themes:
â€¢ Peace and Security
o Conflict Mediation and Resolution
o Resilience to ongoing and emerging security threats
o Nonviolent Advocacy
â€¢ Economic Prosperity
o Digital literacy
o Establishing Public-Private Partnerships
o Social Entrepreneurship
â€¢ Organizational Capacity Building for Alumni Engagement
o Proposal writing
o Organizational management
o Budgeting/Financial management
â€¢ Proposals that do not address the theme as outlined in the program objectives will be deemed ineligible. All project activities must take place within the Philippines.
FEDERAL AWARD INFORMATION
Â· Length of performance period: 12 months
Â· Number of awards: 1-3
Â· Award ceiling: $35,000
Â· Award floor: $5,000
Â· Funding Instrument Type: Cooperative Agreement.
 This notice is subject to availability of funding.
Funding Instrument Type: Grant, Fixed Amount Award (FAAs), or Cooperative agreement. Cooperative agreements and some FAAs are different from grants in that PDS staff are more actively involved in the grant implementation (â€œSubstantial Involvementâ€). If a cooperative agreement or an FAA that includes substantial involvement may be used. 
Examples of substantial involvement can include, but are not limited to: 
â€¢ Active collaboration with the recipient in the implementation of the award;
â€¢ Joint preparation or presentation of results with the recipient;
â€¢ Involvement in the selection of program participants and scholarship recipients;
â€¢ Approval of the curriculum and the structure of the Program; 
â€¢ Approval of the participants for the program. 
Program Performance Period: Proposed programs should be completed in 12 months or less.
PAS will entertain applications for continuation grants funded under these awards beyond the initial budget period on a non-competitive basis subject to availability of funds, satisfactory progress of the program, and a determination that continued funding would be in the best interest of the U.S. Department of State.
 Certification Regarding Compliance with applicable Federal anti-discrimination laws
None of the funds awarded under this agreement may be used for any initiatives or programs, or any activities that do not comply with Executive Order 14173 titled Ending Illegal Discrimination and Restoring Merit-Based Opportunity.
The Recipient shall submit, prior to award or upon request from Grants Officer, a certification that confirms:
1. Its compliance in all respects with all applicable Federal anti-discrimination laws is material to the governmentâ€™s payment decisions for purposes of section 3729(b)(4)of title 31, United States Code and;
2. It does not operate any programs promoting Diversity, Equity, and Inclusion that violate any applicable Federal anti-discrimination laws.
ï»¿</t>
  </si>
  <si>
    <t>Limited Competition: Small Grant Program for NIAMS K01, K08, K23, and K25 Recipients (R03) (Clinical Trials Not Allowed)</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</si>
  <si>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</si>
  <si>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Limited Competition: Small Grant Program for NIAMS K01, K08, K23, and K25 Recipients (R03), a re-issue of PAR-22-119, was re-issued as a result of the Simplifying Review of Research Project Grant Applications [link: https://grants.nih.gov/policy-and-compliance/policy-topics/peer-review/simplifying-review].
The Simplified Review changes in Section V are the only changes that have been made. All other aspects of this funding opportunity remain the same.</t>
  </si>
  <si>
    <t>HARMONY: Human-Centric Analytics for Resilient   Modernized Power sYstems</t>
  </si>
  <si>
    <t>Others (see text field entitled "Additional Information on Eligibility" for clarification) DOE is restricting eligibility to universities, colleges, DOE Federally Funded Research and Development Centers (FFRDCs), and non-profit research institutions or think-tanks to serve as the prime applicant.</t>
  </si>
  <si>
    <t>HARMONY: Human-Centric Analytics for Resilient &amp; Modernized Power sYstems
This NOFO aims to enhance grid reliability and resilience in the face of growing uncertainties and in the age of big data to accelerate pathways towards DOE grid modernization goals. Successful implementation of projects will enable rigorous quantification of risks and uncertainties and their communication to decision-makers and human operators for enhanced grid visibility and resilience.</t>
  </si>
  <si>
    <t>Coordination Center for the Alzheimers Disease Sequencing Project Consortium (U01 Clinical Trial Not Allowed)</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</si>
  <si>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apply.Foreign components, as defined in the NIH Grants Policy Statement, are not allowed.</t>
  </si>
  <si>
    <t>The purpose of this NOFO is to invite applications for the Coordination Center for the Alzheimers Disease Sequencing Project (ADSP) consortium. The ADSP Coordination Center will provide leadership and technical expertise in all aspects of ADSP research. The ADSP Coordination Center will lead and coordinate cross-consortium functions, including effective communication, collaboration, outreach, dissemination, training, and coordination across the components of the ADSP. In addition, the ADSP Coordination Center will be the main conduit for collaboration with NIH and NIA funded programs and the global research community in the genetics and genomics of Alzheimers disease and Alzheimers disease-related dementias (AD/ADRD).</t>
  </si>
  <si>
    <t>NSF-AFRL REsearch in FLoquet Engineered QuanTum Systems</t>
  </si>
  <si>
    <t>Others (see text field entitled "Additional Information on Eligibility" for clarification) *Who May Submit Proposals: Proposals may only be submitted by the following: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PIs or co-PIs must hold primary, full-time, paid appointments in research or teaching positions at US-based campuses/offices of IHEs eligible to submit to this solicitation (see above), with exceptions granted for family or medical leave, as determined by the submitting institution.
A minimum of one PI and two co-PIs must participate in each proposal. These participants must represent at least two different institutions.Each PI/co-PI is expected to contribute complementary expertise relevant to the project proposed including expertise in theory and experimentation, fabrication and testing, or other sciences that may be considered where appropriate.</t>
  </si>
  <si>
    <t>To advance the understanding of novel quantum systems under the influence of time-periodic driving forces, the U.S. National Science Foundation (NSF) and the Air Force Research Laboratory (AFRL) have a mutual interest in exploring innovative concepts on the REsearch in FLoquet Engineered QuanTum Systems (REFLEQTS). For transformational capabilities promised by quantum science to become deployable, new approaches must be developed to create, control, and conserve fragile quantum states on demand.
This topic aligns with the National Quantum Initiative (NQI) as described in the National Science and Technology Council's strategy to extend the research opportunity of Quantum Information Science and Engineering (QISE) by broadening the interagency collaboration and increasing global competitiveness in QISE research outcome that can strengthen National Security.
This solicitation encourages research teams consisting of multiple Principal Investigators (PIs) from multiple institutions to submit proposals on transformative approaches and solutions in materials, devices, theory, and systems to realize the innovative REsearch in FLoquet Engineered QuanTum Systems (REFLEQTS). These systems can be widely applicable, from fundamental science to technology development, for quantum science and engineering including but not limited to quantum sensing, quantum devices, quantum materials, and quantum systems. Research teams may include, but are not limited to, individuals with expertise in classical and quantum materials, devices, and integrated systems in the areas of photonics, and quantum optics. Teams should emphasize combining these areas to access nonequilibrium states for performance metrics unattainable at equilibrium. The requested funds should support a multidisciplinary team of researchers to provide leadership, innovative research, financial support, and workforce training in the focused research theme of Floquet Engineered Quantum System.
Consistent with the NQI and NSTC Strategic Plan, NSF-AFRL REFLEQTS highlights three sets of goals: 1. Leading an interagency collaboration in quantum science and engineering research to encourage and facilitate a mid-scale research team approach; 2. Integrating theory, experimentation, and data-intensive/-driven approaches to explore the innovative approach for Floquet Engineering application in Quantum Systems; 3. Creating a science and engineering workforce in the area of materials, devices, and systems applicable to the quantum field that is trained for careers in academia or industry.</t>
  </si>
  <si>
    <t>Structure and Physics of the Solid Earth</t>
  </si>
  <si>
    <t>The Structure and Physics of the Solid Earth Program (SPSE) aims to advance fundamental knowledge about the ongoing dynamical processes over the age of the Earth that evolve the structure of planet Earth and underpin geohazards. SPSE supports research at all temporal and spatial scales, from the Earth's core to its crust. Through laboratory, field, theoretical, and computational studies, the program encompasses a wide range of disciplines including structural geology, tectonics, and geophysics. Research in these areas can help improve our understanding of natural hazards including earthquakes and mass flows, as well as Earth s formation and its magnetic field.</t>
  </si>
  <si>
    <t>Life and Environments Through Time</t>
  </si>
  <si>
    <t>The Life and Environments Through Time (LET) program supports research that advances knowledge about the patterns and processes relating to the origin and evolution of Earth s climate, environments, life, and sedimentary record. This research takes place at the molecular, local, regional, and global scales from the Archean Eon through the Holocene epoch. LET-supported research can be useful for predicting and planning for future global change, and for the maintenance and security of ecosystem services and human societies.</t>
  </si>
  <si>
    <t>Water, Landscape, and Critical Zone Processes</t>
  </si>
  <si>
    <t>The Water, Landscape, and Critical Zone Processes program supports research on the Earth s near-surface environment and how that environment responds to change. The Program focuses on the complex interplay amongst and between hydrologic, geomorphic, and geochemical processes and how they regulate the structure and function of the Earth s near surface. These processes drive weathering and soil development, control water availability and quality, and help regulate the Earth s climate system, all of which are important for natural resource sustainability and mitigation of natural hazards. It is expected that the research funded in this program will advance fundamental knowledge in Earth surface processes, leading to transformational discoveries in Earth Sciences.</t>
  </si>
  <si>
    <t>Disability and Rehabilitation Research Projects (DRRP) Program: Projects for Translating the Findings and Products of Disability and Rehabilitation Research and Development into Practice</t>
  </si>
  <si>
    <t>The purpose of the Disability and Rehabilitation Research Projects (DRRPs) is to achieve the goals of, and improve the effectiveness of, services authorized under the Rehabilitation Act, by generating new knowledge, or developing methods, procedures, and rehabilitation technologies that advance a wide range of health and function, community living, and employment outcomes among people with disabilities, especially people with disabilities who have the greatest support needs. Under this particular DRRP priority, grantees must engage in knowledge translation activities to promote the use or adoption of findings or products from NIDILRR- sponsored research or development projects. NIDILRR plans to make five grants under this opportunity in FY 2025. Each grant will have a 60-month project period, with five 12-month budget periods.</t>
  </si>
  <si>
    <t>Informatics Tools for the Pangenome (U01 Clinical Trial Not Allowed)</t>
  </si>
  <si>
    <t>Private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</si>
  <si>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National Human Genome Research Institute (NHGRI) will renew the Human Genome Reference Program (HGRP). This Informatics Tools for the Pangenome NOFO will provide multiple awards to develop informatics tools that enable uptake and use of the improved pangenome reference. Emphasis will be on tools for common use cases that are relevant to different broad sectors of the genomics community, e.g., clinical, population, and functional genomics. Possible examples include selecting the best subset of linear genomes or paths along the graph for a given set of samples, visualizing complex variation, and annotating regulatory elements and disease associations.</t>
  </si>
  <si>
    <t>NOAA's Transformational Habitat Restoration and Coastal Resilience Grants Under the Bipartisan Infrastructure Law Round 3</t>
  </si>
  <si>
    <t>Nonprofits that do not have a 501(c)(3) status with the IRS, other than institutions of higher education Eligible applicants are institutions of higher education, non-profits, commercial (for profit) organizations, U.S. territories, and state, local, and tribal governments. Applications from federal agencies or employees of federal agencies will not be considered. Federal agencies and employees are not allowed to receive funds under this solicitation, but may serve as collaborative project partners. Foreign entities can participate as partners (contractors, sub-recipients, or informal collaborators) of a prime recipient based in the U.S. This opportunity includes up to 15% of funds available to Indian tribes (as defined in 25 U.S.C. Section 5304 (e)) and Native American organizations that represent Indian tribes through formal legal agreements (e.g. tribal commissions, tribal consortia, tribal conservation districts, and tribal cooperatives). Funding to Indian tribes and Native American organizations may be direct awards or subawards. 25 U.S.C. Section 5304 (e) states that  Indian tribe  or  Indian Tribe  means any Indian tribe, band, nation, or other organized group or community, including any Alaska Native village or regional or village corporation as defined in or established pursuant to the Alaska Native Claims Settlement Act (85 Stat. 688) [43 U.S.C. 1601 et seq.], which is recognized as eligible for the special programs and services provided by the United States to Indians because of their status as Indians. Applicants demonstrating a connection to a tribe, tribal entity and/or an underserved community may do this through proposed subawards, contracts, informal collaboration, or other engagement with, or approval of, one or more tribes, tribal entities, and/or underserved communities. The application will be evaluated based on the strength of the partnership with the underserved community or communities. The partner submitting the application is required to provide supporting documentation in the application demonstrating that they have been endorsed by one or more tribes, tribal entities, and/or underserved communities for the specific work proposed. The documentation may be provided in the form of letters of support from one or more tribes, tribal entities, and/or underserved communities for the specific work proposed, and should be attached with other Supplemental Materials. Applications from federal agencies or employees of federal agencies will not be considered. However, federal agencies or employees may serve as unfunded collaborative project partners. Foreign entities should participate as partners (contractors, sub-recipients, or informal collaborators) of a prime recipient based in the U.S. Applicants must propose work in coastal, marine, or estuarine areas that benefit species or fisheries outlined within the program priorities (Section I.B). See Section I.A. for a definition of coastal areas. Eligible applicants for Great Lakes projects must propose work within the Great Lakes basin within one of the eight U.S. Great Lakes states (New York, Pennsylvania, Ohio, Michigan, Indiana, Illinois, Wisconsin, and Minnesota). Applications that propose projects in the Commonwealth and Territories of the United States, for this solicitation defined as American Samoa, Guam, Northern Mariana Islands, U.S. Virgin Islands, and Puerto Rico, are eligible, but those in the Freely Associated States are not eligible to submit an application.</t>
  </si>
  <si>
    <t xml:space="preserve">The principal objective of this solicitation is to support transformational habitat restoration projects that restore marine, estuarine, coastal, or Great Lakes ecosystems, using approaches that enhance community and ecosystem resilience to climate hazards. NOAA anticipates up to $100 million will be available under this opportunity, of which up to 15% will be specifically available as direct awards and subawards to Indian tribes (as defined in 25 U.S.C. Section 5304(e)) and Native American organizations that represent Indian Tribes through formal legal agreements (e.g. tribal commissions, tribal consortia, tribal conservation districts, and tribal cooperatives). The remaining funding will be available to all eligible applicants. Funding will prioritize habitat restoration actions that: demonstrate significant impacts; rebuild productive and sustainable fisheries; contribute to the recovery and conservation of threatened and endangered species; promote climate-resilient ecosystems, especially in tribal, indigenous, and/or underserved communities; and improve economic vitality, including local employment. This solicitation is authorized under the Infrastructure Investment and Jobs Act (Bipartisan Infrastructure Law) (BIL, Public Law 117-58), 135 STAT.1356 (Nov. 15, 2021). This funding opportunity seeks habitat restoration projects that enhance coastal resilience. Coastal areas support the nationâ€™s largest and often fastest-growing population centers, as well as key natural assets. Strengthening coastal resilience means preparing and adapting coastal communities to mitigate the impacts of, and more quickly recover after, extreme weather events such as hurricanes, coastal storms, and flooding, as well as longer-term climate hazards, such as sea level rise. Habitat restoration and natural and nature-based infrastructure are critical to doing so, by protecting lives and property; sustaining commercial, recreational, and subsistence fishing; recovering threatened and endangered species; and maintaining and fostering vibrant coastal economies. This funding opportunity â€“ along with other opportunities through programs such as the National Oceans and Coastal Security Fund, Climate Resilience Regional Challenge, Coastal Zone Management, National Estuarine Research Reserves, and Coastal Habitat Restoration and Resilience Grants for Tribes and Underserved Communities â€“ aims to fund projects that support the overarching goal of enhancing coastal resilience. This funding opportunity is also aligned with actions outlined in the Biden-Harris Administrationâ€™s Ocean Climate Action Plan, including nature-based solutions that support natural coastal and ocean systems while reducing the impacts of climate threats. This funding opportunity will prioritize high-value, transformative projects that advance resilience and support habitat restoration. Applicants should address the following set of program priorities: 1) sustaining productive fisheries and strengthening ecosystem resilience; 2) enhancing community resilience to climate hazards and providing other co-benefits; 3) fostering regionally important habitat restoration; and 4) providing benefits to tribal, indigenous, and/or underserved communities, including through partnerships. This solicitation will fund projects that demonstrate high priority and transformative potential within the geographic region where restoration actions are proposed. Projects that are most responsive to the program priorities and are more transformative (i.e., have greater positive impact) will be more competitive. Proposals may include the following types of project phases: planning and assessments; feasibility studies; engineering design and permitting; on-the-ground implementation; pre- and/or post-implementation monitoring. Proposals may also include capacitybuilding and community engagement to support the proposed restoration. Applicants proposing preimplementation activities should demonstrate how these efforts will support or catalyze subsequent onthe-ground restoration. Proposals that include on-the-ground implementation will be given priority compared to those that include only pre-implementation activities. Proposals that include multiple sites should demonstrate how projects collectively contribute to the priorities within the same geographic area or watershed, and applicants should demonstrate the capacity to manage concurrent habitat restoration projects over multiple years. Priority will be given to activities with the highest certainty to occur within a 2-3 year award period. NOAA is committed to the goals of advancing equity and support for underserved communities. NOAA encourages applicants to include and demonstrate principles of diversity, equity, inclusion, and accessibility through proactive, meaningful, and equitable community engagement in the identification, design, and/or implementation of proposed projects. NOAA also encourages applicants to propose projects with benefits to tribal, indigenous, and/or underserved communities, and projects that appropriately consider and elevate local or indigenous knowledge in project design, implementation, and evaluation. Applicants should identify if the project is located within tribal, indigenous, and/or underserved communities, and/or whether a portion of the resilience benefits from the proposed work will flow to tribal, indigenous, and/or underserved communities. This program will advance the Biden-Harris Administrationâ€™s Justice40 Initiative. Established by Executive Order 14008 on â€œTackling the Climate Crisis at Home and Abroad,â€ the Justice40 Initiative has established a goal that 40 percent of the overall benefits of certain federal investments in climate, clean energy, and other areas will flow to disadvantaged communities that are marginalized and overburdened by pollution and underinvestment. Proposals selected for funding through this solicitation will be funded through cooperative agreements. NOAA encourages a period of performance of up to three years, with the potential for up to five years, if necessary. NOAA anticipates typical federal funding for awards will range from $4 million to $6 million over three years. NOAA will not accept proposals with a federal funding request of less than $750,000 or more than $10 million total for the entire award. We only expect a small number of awards (between 3-5) that will be funded near or at the cap of $10 million. Funds will be administered by the NOAA Office of Habitat Conservation, as directed in the Bipartisan Infrastructure Law. </t>
  </si>
  <si>
    <t>Next Level Now Technical Assistance Collaborative</t>
  </si>
  <si>
    <t>DOL-ETA</t>
  </si>
  <si>
    <t>Employment and Training Administration</t>
  </si>
  <si>
    <t>Others (see text field entitled "Additional Information on Eligibility" for clarification) Eligible applicants must be organizations that possess the internal capacity, external relationships, and expertise in workforce development that will enable them to deliver TA services on a national, system-wide scale to the public workforce system. The following entities are eligible to apply: 	Non-profit organizations; 	Educational institutions, including research         institutions that provide technical assistance; 	Labor organizations or trade unions;  	State governments; or  	For-profit technical assistance providers, private         institutes, or independent policy research         organizations.Among eligible applicants listed above, the applicant agency or organization must also have the expertise (particularly within the publicly funded workforce system), resources, and capacity (number of personnel, subject matter experts) to deliver comprehensive TA at a nationwide scale. DOL anticipates that most eligible entities will not singularly possess the expertise or capacity to operate the project unassisted and will need to engage partners. As such, the lead applicant s implementation plan must include a description of the associated partners, if engaged, to supplement program activities to fully address and execute all of the required grant funded activities and deliverables.</t>
  </si>
  <si>
    <t>*NOTE: The U.S. Department of Labor is reviewing all Funding Opportunity Announcements for consistency with the Executive Orders titled, â€œEnding Radical and Wasteful Government DEI Programs and Preferencing,â€ issued on January 20, 2025, and â€œEnding Illegal Discrimination and Restoring Merit-Based Opportunity,â€ issued on January 21, 2025. The Department will take necessary action with the Funding Opportunity Announcement and issue additional guidance including adjusting the close date if appropriate. This funding will support a cooperative agreement between the U.S. Department of Labor and the selected awardee(s), who will operate a Technical Assistance Collaborative to provide strategic, short- and long-term technical assistance (TA) to help public workforce system entities at the state and local levels improve service quality and outcomes for job seekers and employers who use the public workforce system. For the purposes of this announcement, the public workforce system is considered as primarily Workforce Innovation and Opportunity Act (WIOA) Title I and Wagner-Peyser Act Employment Service grantees and required partners of stop delivery system. TA may be provided to a of workforce system partners to improve WIOA Title I and Wagner-Peyser Act service delivery.</t>
  </si>
  <si>
    <t>Enhancing Timely Data Reporting, Quality, and Use in Early Hearing Detection and Intervention (EHDI) Surveillance</t>
  </si>
  <si>
    <t>HHS-CDC-NCBDDD</t>
  </si>
  <si>
    <t>Centers for Disease Control - NCBDDD</t>
  </si>
  <si>
    <t>City or township governments Bona fide agents of state and territorial governments State and territorial agencies have the public health authority and/or legislative mandate to conduct Universal Newborn Hearing Screening (UNHS) activities, which include monitoring and tracking the disposition of every occurrent birth in the state. This authority allows the agency or their bona fide agent to work collaboratively with multiple reporting sources, including but not limited to State vital records. Birthing facilities, Diagnostic centers, Audiologist, Early intervention services, Congenital anomaly registries, Immunization registries, and other newborn screening programs to ensure accurate monitoring and tracking of all births statewide.There are two components included in this NOFO:Component A: Improving data quality in the Early Hearing Detection and Intervention-Information System (EHDI-IS) by using data to inform interventions and building collaborations to facilitate data linkage and integration, andComponent B: Incorporating language outcomes data into the EHDI-IS by improving collaboration with early intervention services funded under Part C and other relevant partners that collect language or communication outcomes.To be eligible for Component A,  you must 1) Document that there are at least 5,000 babies born in your jurisdiction each year, 2) Document your ability to collect and report biannually all tier 1 patient-level data items found on the table below and document completeness of tier 1 variables. See the link under additional information for the list of tier 1 data items.To be eligible for Component B you must, 1) apply for Component A and 2) document your program s six-month early intervention benchmark for calendar year 2022.</t>
  </si>
  <si>
    <t>The purpose of this Notice of Funding Opportunity (NOFO) is to support jurisdictional Early Hearing Detection and Intervention (EHDI) programs to improve data quality and use of data to inform programmatic actions by examining the timeliness and completeness of the data to help all infants who are born Deaf or Hard of Hearing (D/HH) to reach the full promise of screening, diagnosis, and access to early intervention in the first 6 months of life.  Also, the NOFO will support a subset of jurisdictions to integrate language and communication status data at age 3 years within their EHDI surveillance system, enhancing their ability to monitor the impact of early diagnosis of D/HH and subsequent intervention. Specifically, the aims of this NOFO will be to 1) Boost state and local systems and support and bolster jurisdictional staff with technical expertise to develop efficient systems, analyze data, and facilitate linkages to EHDI-related data systems to address gaps in diagnosis and linkage to screening, diagnostic and early intervention services; 2)Focus on improving 1-, 3-, and 6-month data quality and systems by identifying solutions, including jurisdiction specific strategies and policies, to improve data completeness, validity of data or data linkage/integration; 3)Facilitate analysis and use of data to address gaps and disparities in timely screening, diagnosis, and enrollment in early intervention; and 4) Begin to incorporate monitoring developmental status indicator outcomes into EHDI surveillance and pilot adding language/communication developmental status data to the EHDI-IS.</t>
  </si>
  <si>
    <t>Minority University Research and Education Project (MUREP) Aeronautics Community   Environmental Impact Research (ACEIR)</t>
  </si>
  <si>
    <t>NASA</t>
  </si>
  <si>
    <t>National Aeronautics and Space Administration</t>
  </si>
  <si>
    <t>Others (see text field entitled "Additional Information on Eligibility" for clarification) To be eligible for this funding opportunity, all proposals shall originate from two-year or four-year institutions designated and listed by the U.S. Department of Education as a Minority-Serving Institution (MSI) at the time of proposal submission (see NASA MSI List). Proposals from institutions that are not designated and listed by the U.S. Department of Education as MSI at the time of proposal submission will result in NASA returning the application without review. Institutions not meeting these criteria are encouraged to partner with colleges or universities that do satisfy the requirements. Any arrangement or agreement to have the fiscal management and/or administration of the award performed by a third party is between the recipient and the third party, (e.g., an affiliated Board of Regents, University System or Foundation). _x000D_
_x000D_
Eligible entities for this funding opportunity includes both: _x000D_
  Public and state-controlled institutions of higher education _x000D_
  Private institutions of higher education_x000D_
_x000D_
 https://msiexchange.nasa.gov/msilist</t>
  </si>
  <si>
    <t>The NASA Office of Science, Technology, Engineering, and Mathematics Engagement (OSTEM) Minority University Research and Education Project (MUREP) Aeronautics Community   Environmental Impact Research (ACEIR) activity is an opportunity for Minority Serving Institutions (MSIs) to conduct interdisciplinary research into the environmental and societal impacts of future air transportation technology and infrastructure on overburdened communities through development of new practices and radical innovation. 
MSIs will research how future air transportation technologies impact communities and the environment, and develop equitable, safe, affordable, and accessible approaches to the future of aviation. 
By applying their unique perspectives, experiences, approaches, and community relationships to this area of local, regional, and national interest, MSIs will contribute to creating more equitable access and impacts across communities as well as a more equitable future of aviation for all. By engaging their faculty and students in this research, MSIs will build capacity at their institutions and contribute to increasing the diversity of the STEM workforce.</t>
  </si>
  <si>
    <t>FY2026 Sea Grant Knauss Marine Policy Fellowship</t>
  </si>
  <si>
    <t>Others (see text field entitled "Additional Information on Eligibility" for clarification) Any student, regardless of citizenship, is eligible to submit application materials listed in Section IV.B.3.b.1-4 of this NOFO to an eligible Sea Grant program if:(1) The student is enrolled towards a degree in a graduate program at any point between the onset of the 2024 Fall Term (quarter, trimester, semester, etc.) and February 19, 2025;(2) The graduate degree will be awarded through an accredited institution of higher education in the United States or U.S. Territories, and;(3) The student has an interest in ocean, coastal, and Great Lakes resources and in the national policy decisions affecting those resources.Application submission is through an application to the Sea Grant program in the state in which the student is earning their degree. If there is no Sea Grant program, a Sea Grant program will be assigned (see Section IV.D.) A written statement from the National Sea Grant Knauss Fellowship Program Manager referring the applicant to the most appropriate eligible Sea Grant program will be provided to the applicant and must be submitted to the State Sea Grant program through which they are applying. The following entities are eligible to submit full proposals to this NOFO opportunity via Grants.gov: Sea Grant College Programs, Sea Grant Institutional Programs, and Sea Grant Coherent Area Programs.</t>
  </si>
  <si>
    <t>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communities.This notice announces that applications may be submitted for the 2026 National Sea Grant College Program Dean John A. Knauss Marine Policy Fellowship (Sea Grant Knauss Fellowship Program). The National Sea Grant College Program (Sea Grant) anticipates funding not less than 35 applicants, of which approximately 17 will be assigned to the Legislative branch. Application packages will each propose a total of $95,600 in funding. Detailed breakout of this funding is described in Section II.A and Section IV.F of this announcement.Applicants are strongly encouraged to reach out to the Sea Grant program in their state/territory at least one to two months prior to the state application deadline to receive application support and provide notification of intent to apply. Following student application submission, the student should allow sufficient time to schedule an interview with the eligible Sea Grant program at the programâ€™s request.All projects must take place within the United States or territories or their respective waterways.</t>
  </si>
  <si>
    <t>Rehabilitation Research Career Development Programs (K12 Clinical Trial Optional)</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</si>
  <si>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</si>
  <si>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This funding opportunity seeks applications to support national programs of mentored career development and training in research for junior faculty in clinical rehabilitation fields. The goal is to attract and nurture a new and geographically-diverse cadre of clinically trained rehabilitation researchers and support their transition to independent funding. The program should support scholars with a clinical background in medical rehabilitation (e.g., physiatry, physical/occupational therapy and allied health).</t>
  </si>
  <si>
    <t>FY2025 Sea Grant Programs Only - Workshops and Professional Meetings</t>
  </si>
  <si>
    <t>This opportunity is only available to existing institutional Sea Grant Programs.
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Applications to this opportunity should propose projects that do one or more of the following:
â€¢ Support the costs of workshops led by Sea Grant programs or individuals representing Sea Grant;
â€¢ Provide travel for Sea Grant professionals to workshops, conferences or professional meetings;
â€¢ Support participation in workshops, conferences and professional meetings by Sea Grant professionals relevant to achieving Sea Grantâ€™s mission;
â€¢ Support workshop logistics and administration, and/or related expenses.
All projects must take place within the United States or territories or their respective waterways.
Applicant organizations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Tips and Tricks for Successful eRA Submissions, linked here.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t>
  </si>
  <si>
    <t>Pacific Coastal Salmon Recovery Fund (Annual Appropriations and IIJA Funds)</t>
  </si>
  <si>
    <t>Others (see text field entitled "Additional Information on Eligibility" for clarification) Eligible applicants are the States of Washington, Oregon, Idaho, Nevada, California, and Alaska, and Federally recognized tribes of the Columbia River and Pacific Coast (including Alaska).</t>
  </si>
  <si>
    <t>NOAA announces the availability of Federal funding, authorized pursuant to the Infrastructure Investment and Jobs Act, Pub. L. 117-58 (November 15, 2021), hereinafter the â€œBipartisan Infrastructure Lawâ€ or â€œBILâ€; Consolidated Appropriations Act, 2024, Pub. L. 118- 42 (March 8, 2024); Continuing Appropriations and Extensions Act, 2025, Pub. L. 118-83 (September 26, 2024), for necessary expenses associated with the restoration of Pacific salmon populations. The Pacific Coastal Salmon Recovery Fund (PCSRF) program makes such funding available to the States of Washington, Oregon, Idaho, Nevada, California, and Alaska, and federally recognized tribes of the Columbia River and Pacific Coast (including Alaska) for projects necessary for the conservation of salmon and steelhead populations listed as threatened or endangered, or identified by a State as at-risk to be so-listed; for maintaining populations necessary for exercise of tribal treaty fishing rights or native subsistence fishing; or for the conservation of Pacific coastal salmon and steelhead habitat. A federally recognized tribe is defined as an Indian or Alaska Native tribe, band, nation, pueblo, village or community that the Secretary of the Interior acknowledges to exist as an Indian tribe pursuant to the Federally Recognized Indian Tribe List Act of 1994, 25 U.S.C. Â§Â§ 5130, 5131. See Executive Order No. 13175 (2000). Native subsistence is inclusive of federally recognized non-treaty tribal salmon fisheries. This announcement outlines the priorities and guidelines that will be used to award funding to eligible entities.</t>
  </si>
  <si>
    <t>Department of Interior (DOI), Office of Wildland Fire (OWF) - Slip-on Tanker Units</t>
  </si>
  <si>
    <t>DOI-IBC</t>
  </si>
  <si>
    <t>Interior Business Center</t>
  </si>
  <si>
    <t>Others (see text field entitled "Additional Information on Eligibility" for clarification) Eligibility is restricted to U.S. local governments that provide fire protection and other emergency services and are in need of slip-on tankers to improve the wildland firefighting readiness for their area of protection and service a location with a population of 50,000 or less. Additional details are found in the full announcement.</t>
  </si>
  <si>
    <t>Climate change is driving the devastating intersection of extreme heat, drought, and wildland fire danger across the United States, creating wildfires that move with a speed and intensity previously unseen. This has created conditions in which wildfires overwhelm response capabilities, resulting in billions of dollars in economic losses, damage to natural resources, devastation to communities, and the tragic loss of human life.The Infrastructure Investment and Jobs Act, also known as the Bipartisan Infrastructure Law (BIL), enacted in November 2021, is bringing much-needed support to communities across the country to increase the resilience of lands facing the threat of wildland fires and to better support federal wildland firefighters. The BIL provides funding and authorizes the U.S. Department of the Interior (DOI) to develop and implement a pilot program to provide local governments with financial assistance to acquire slip-on tanker units to establish fleets of vehicles that can be quickly converted to be operated as fire engines. The objective of this opportunity is to provide funding for these units that meet the required minimum specifications as outlined in Attachment 1.</t>
  </si>
  <si>
    <t>Eswatini- Alumni Engagement Innovation Fund 2025</t>
  </si>
  <si>
    <t>DOS-SWZ</t>
  </si>
  <si>
    <t>U.S. Mission to Eswatini</t>
  </si>
  <si>
    <t>Others (see text field entitled "Additional Information on Eligibility" for clarification)  	Alumni who participated in a U.S. government-sponsored exchange program (list of exchange programs: https://alumni.state.gov/list-exchange-programs)._x000D_
 	Alumni associations._x000D_
 	The proposed project must involve at least two U.S. government-sponsored exchange program alumni._x000D_
 	At least one of the alumni should be designated as the team lead._x000D_
 	If three or more alumni are applying together, U.S. citizen alumni may be included on alumni teams, but the team must have at least two non-U.S. citizen exchange program alumni. U.S. citizen alumni cannot be team leads on projects.</t>
  </si>
  <si>
    <t xml:space="preserve">The Department of State, U.S. Embassy Eswatini, Public Diplomacy Section (PDS) is pleased to announce the roll-out of the 2025 Alumni Engagement Innovation Fund (AEIF). The AEIF is an annual funding opportunity designed to invest in U.S. government-funded exchange participants and programs by helping alumni develop and implement projects that promote shared interests and policy objectives and benefit local communities. We invite you to submit a Statement of Interest (SOI) of no more than two pages by January 15, 2025 for projects that meet the requirements of the program (discussed in Section C below). Applicants with competitive SOIs will subsequently be notified and invited to submit full grant applications. </t>
  </si>
  <si>
    <t>NSF Scholarships in Science, Technology, Engineering, and Mathematics Program</t>
  </si>
  <si>
    <t>Others (see text field entitled "Additional Information on Eligibility" for clarification) *Who May Submit Proposals: Proposals may only be submitted by the following: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For Track 1 and Track 2 proposals, the Principal Investigator must be (a) a faculty member currently teaching in an S-STEM eligible discipline, or (b) an academic administrator who has taught in one of the eligible disciplines and can dedicate the time necessary to assure project success. Projects involving more than one department within an institution are eligible, but a single Principal Investigator must accept overall management and leadership responsibility. Faculty from all departments involved must have roles in the project as either Co-Principal Investigators, other senior/key personnel, or scholar mentors. Other members of the S-STEM project senior leadership and management team may be listed as Co-Principal Investigators.
For Track 3 (Inter-institutional Consortia) projects, the Principal Investigator must be (a) a faculty member currently teaching in an S-STEM eligible discipline, (b) an academic administrator who has taught an S-STEM eligible discipline, or (c) a non-teaching institutional, educational, or social science researcher investigating questions related to low-income student success. The Principal Investigator must be able to provide the leadership and time required to ensure the success of the project. Track 3 consortium proposals must have a Principal Investigator who accepts overall management and leadership responsibility across all consortia members. Faculty from all institutions and departments involved need to have roles in the project as either Co-Principal investigators, other senior/key personnel, or scholar mentors. Other members of the S-STEM project senior leadership and management team may be listed as Co-Principal Investigators or as Principal Investigators on collaborative research proposals.</t>
  </si>
  <si>
    <t>The main goal of the S-STEM program is to enable academically talented, low-income students to pursue successful careers in promising STEM fields. Ultimately, the S-STEM program seeks to increase the number of academically promising low-income students who graduate with an S-STEM eligible degree and contribute to the American innovation economy with their STEM knowledge. Recognizing that financial aid alone cannot increase retention and graduation in STEM, the program provides awards to institutions of higher education (IHEs) not only to fund scholarships, but also to adapt, implement, and study evidence-based curricular and co-curricular[a] activities that have been shown to be effective in supporting recruitment, retention, transfer (if appropriate), student success, academic/career pathways, and graduation in STEM.
To be eligible, scholars must be domestic low-income students with academic ability, talent, or potential and demonstrated unmet financial need who are enrolled in an associate, baccalaureate, or graduate degree program in an S-STEM eligible discipline. Proposers must provide an analysis that articulates the characteristics and academic needs of the population of students they are trying to serve. NSF is particularly interested in supporting the attainment of degrees in fields identified as critical needs for the Nation. It is up to the proposer to make a compelling case that such a field serves a critical need in the United States.
[a] an activity at a school or college pursued in addition to the normal course of study.
S-STEM Eligible Degree Programs
Associate of Arts, Associate of Science, Associate of Engineering, and Associate of Applied Science
Bachelor of Arts, Bachelor of Science, Bachelor of Engineering and Bachelor of Applied Science
Master of Arts, Master of Science, and Master of Engineering
Doctoral (Ph.D. or other comparable doctoral degree)
S-STEM Eligible Disciplines
Disciplinary fields in which research is funded by NSF, including technology fields associated with the S-STEM-eligible disciplines (e.g., biotechnology, chemical technology, engineering technology, information technology, etc.).
The following degrees and disciplines areexcluded:
Clinical degree programs, including medical degrees, nursing, veterinary medicine, pharmacy, physical therapy, and others not funded by NSF, are ineligible degrees.
Programs for STEM teacher certification or licensure currently covered by the Robert Noyce Teacher Scholarship program (NOYCE) are ineligible for S-STEM funding.
Business school programs that lead to Bachelor of Arts or Science in Business Administration degrees (BABA/BSBA/BBA) are not eligible for S-STEM funding.
Masters and Doctoral degrees in Business Administration are also excluded.
Proposers are strongly encouraged to contact Program Officers before submitting a proposal if they have questions concerning degree or disciplinary eligibility.
The S-STEM program particularly encourages proposals from 2-year institutions, Minority Serving Institutions (MSIs), predominately undergraduate institutions, and urban, suburban, and rural public institutions.</t>
  </si>
  <si>
    <t>Office of Special Education and Rehabilitative Services (OSERS): Office of Special Education Programs (OSEP): State Personnel Development Grants (SPDG) Program, Assistance Listing Number 84.323A</t>
  </si>
  <si>
    <t>Others (see text field entitled "Additional Information on Eligibility" for clarification) 1. Eligible Applicants: An SEA of one of the 50 States, the District of Columbia, or the Commonwealth of Puerto Rico or an outlying area (United States Virgin Islands, Guam, American Samoa, and the Commonwealth of the Northern Mariana Islands).    Note: Public Law 95-134, which permits the consolidation of grants to the outlying areas, does not apply to funds received under this competition.</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</si>
  <si>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the SPDG program is to assist State educational agencies (SEAs) in reforming and improving their systems for personnel preparation and professional development in early intervention, educational, and transition services to improve results for children with disabilities. 
Assistance Listing Number (ALN) 84.323A</t>
  </si>
  <si>
    <t>Nuclear Data Interagency Working Group (NDIAWG) Research Program</t>
  </si>
  <si>
    <t>The Nuclear Data InterAgency Working Group (NDIAWG), comprised of 16 stakeholders across the federal government that have an interest in nuclear data, invites applications in relevant research topics derived from the annual Workshop on Applied Nuclear Data Activities (WANDA) and other workshops and discussions. Since the first joint NOFO put out in 2016, over $70M have been invested in nuclear data by NP and interagency partners. This yearâ€™s NOFO partners include NP and FES from SC.</t>
  </si>
  <si>
    <t>FY2024 Historic Preservation Fund - Tribal Heritage Grants</t>
  </si>
  <si>
    <t>Native American tribal organizations (other than Federally recognized tribal governments) This funding opportunity is limited to Federally-recognized Tribes, Alaska Native Villages/Corporations (Tribes), and Native Hawaiian Organizations, as defined by 54 USC   300309, 54 USC 300313 and 54 USC 300314. Excluded parties:Sites or collections owned or leased by the NPS, or in which the NPS holds a property interest are not eligible for funding.</t>
  </si>
  <si>
    <t>The National Historic Preservation Act authorizes grants to federally recognized Tribes for cultural and historic preservation projects. These grants assist Tribes, Alaskan Natives, and Native Hawaiian Organizations in protecting and promoting their unique cultural heritage and traditions. From the beginning, the program has been shaped by Tribes. It focuses on what they are most concerned about protecting: Traditional skills, oral history, plant and animal species important in tradition, sacred and historic places, and the establishment of tribal historic preservation offices.</t>
  </si>
  <si>
    <t>USAID Sustaining Control of the HIV Epidemic through quality Services, resilient systems, and Community Outreach (SUCESSO) - Tete   Manica</t>
  </si>
  <si>
    <t>Others (see text field entitled "Additional Information on Eligibility" for clarification) Eligibility for this award is restricted to local organizations.</t>
  </si>
  <si>
    <t>USAID SUstaining Control of the HIV Epidemic through quality Services, resilient Systems, and Community Outreach (SUCESSO) _ Sofala   Niassa</t>
  </si>
  <si>
    <t>Research to Address Systemic and Structural Barriers and Facilitators to Improve the HIV Pre-Exposure Prophylaxis (PrEP) Care Continuum for People Who Use Substances (R34 Clinical Trials Required)</t>
  </si>
  <si>
    <t>Pre-exposure prophylaxis, also known as PrEP, is a safe, highly effective medication for preventing transmission of HIV from sex or injection drug use. Despite PrEPs high efficacy and its availability for over a decade, the awareness, uptake, and adherence of PrEP, especially among people who use substances remain suboptimal. The goal of this concept is to support research to examine and address systemic and structural factors that impede or facilitate the PrEP awareness, uptake, and adherence, among people who use substances. Projects will develop, implement, and evaluate effective strategies that meet the needs of people who use substances to improve the PrEP care continuum.</t>
  </si>
  <si>
    <t>Research to Address Systemic and Structural Barriers and Facilitators to Improve the HIV Pre-Exposure Prophylaxis (PrEP) Care Continuum for People Who Use Substances (R01 Clinical Trials Required)</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</si>
  <si>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</si>
  <si>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ROSES 2024:</t>
  </si>
  <si>
    <t xml:space="preserve">Please note that this program requests optional Notices of Intent, which are due via NSPIRES by January 21,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</si>
  <si>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In Vivo Non-Invasive Optical Imaging Approaches for Biological Systems (UG3/UH3 Clinical Trials Not Allowed</t>
  </si>
  <si>
    <t>Small businesses Other Eligible Applicants include the following:
 Alaska Native and Native Hawaiian Serving Institutions; Asian American Native American Pacific Islander Serving Institutions (AANAPISISs); Eligible Agencies of the Federal Government; Hispanic-serving Institutions; Historically Black Colleges and Universities (HBCUs); Tribally Controlled Colleges and Universities (TCCUs) ; U.S. Territory or Possession; Non-domestic (non-U.S.) Entities (Foreign Organizations) are not eligible to apply.</t>
  </si>
  <si>
    <t>The purpose of the Advancing Non-Invasive Optical Imaging Approaches for Biological Systems initiative is to overcome the problem of light scattering in biological systems.  Current optical imaging techniques that are non-invasive and allow rapid assessment of tissue function and structure suffer from strong light scattering within biological tissues, limiting the penetration depth and resolution. This funding opportunity encourages development of next-generation non-invasive or minimally-invasive optical imaging techniques to overcome these issues and to allow deeper imaging of biological systems with high spatial and temporal resolution.</t>
  </si>
  <si>
    <t>Artificial Intelligence in Pre-clinical Drug Development for AD/ADRD (R01 Clinical Trial Not Allowed)</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</si>
  <si>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</si>
  <si>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This NOFO invites applications that apply existing or newly developed artificial intelligence and machine learning methods (AI/ML) to various aspects of drug discovery and preclinical drug development to accelerate the identification, optimization, and selection of preclinical drug candidates for the treatment and prevention of Alzheimers disease (AD) and AD-related dementias ADRD and increase their likelihood of success during clinical drug development.This program will also create advanced open-source analytical tools that will be made available to researchers in academia and biotech/pharma for more effective prosecution of AD/ADRD drug discovery campaigns for novel targets.</t>
  </si>
  <si>
    <t>Behavioral Health Workforce Development Technical Assistance Program</t>
  </si>
  <si>
    <t>Independent school districts Types of eligible organizations If otherwise eligible, these types of domestic* organizations may apply. Public institutions of higher education. Private nonprofit institutions of higher education. Nonprofits with or without a 501(c)(3) IRS status. State, county, city, township, and special district governments, including the District of Columbia, domestic territories, and freely associated states. Faith-based and community-based organizations. Native American tribal governments. Native American tribal organizations. Current BHWD TA program recipient - The current BHWD TA program recipient, whose funding ends on August 30, 2025, may apply as a competing continuation applicant. *Domestic means located in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</si>
  <si>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BHWD TA program is to support recipients of HRSAâ€™s BHWD programs, including, Behavioral Health Workforce Education and Training Program for Professionals, Behavioral Health Workforce Education and Training Program for Paraprofessionals, and Graduate Psychology Education program, and future BHWD program recipients.[1] The TA will help programs expand the number of highly trained behavioral health providers across the nation.</t>
  </si>
  <si>
    <t>NSF/CASIS Collaboration on Tissue Engineering and Mechanobiology on the International Space Station (ISS) to Benefit Life on Earth</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</si>
  <si>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 and any co-PIs must qualify as a United States citizen or alien admitted for permanent residence in the United States, and any corporation, partnership, or other organization organized under the laws of the United States.</t>
  </si>
  <si>
    <t>The Divisions of Chemical, Bioengineering and Environmental Transport (CBET) and Civil, Mechanical, and Manufacturing Infrastructure (CMMI) in the Engineering Directorate of the National Science Foundation (NSF) are partnering with the Center for the Advancement of Science in Space, Inc. (CASIS) to solicit research projects in the fields of tissue engineering and mechanobiology that can utilize the International Space Station (ISS) National Lab to conduct research that will benefit life on Earth. Topics must fit the scope of either the Biomechanics and Mechanobiology Program or the Engineering of Biomedical Systems Program and must address fundamental engineering gaps. For utilization of the ISS National Lab through this solicitation, individuals and entities must qualify as a United States citizen or alien admitted for permanent residence in the United States, or as a corporation, partnership, or other organization organized under the laws of the United States, respectively.</t>
  </si>
  <si>
    <t>FY2025 Young Fishermen s Career Development Projects</t>
  </si>
  <si>
    <t>Others (see text field entitled "Additional Information on Eligibility" for clarification) The following entities are eligible to submit to this opportunity:_x000D_
_x000D_
To be eligible to receive a grant under this program a recipient shall be a collaborative State, Tribal, local, or regionally based network or partnership of public or private entities, which may include  (A) a Sea Grant Institution; (B) a Federal or State agency or a Tribal organization; (C) a community-based nongovernmental organization; (D) fishermen s cooperatives or associations; (E) an institution of higher education (including an institution awarding an associate s degree), or a foundation maintained by an institution of higher education; or (F) any other appropriate entity.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match._x000D_
_x000D_
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applicants of all ages, races, ethnicities, national origins, gender identities, sexual orientations, disabilities, cultures, religions, citizenship types, marital statuses, education levels, job classifications, veteran status types, income, and socioeconomic status types to apply for this opportunity.</t>
  </si>
  <si>
    <t xml:space="preserve"> 
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The National Sea Grant Office (NSGO) anticipates approximately $1,000,000 of federal funds will be available to support approximately 2-3 awards in order to develop and execute local, regional, and national programs, workshops, and services to enable fishermen to enter career paths and make a living supplying seafood from our Nation's oceans, coasts, and Great Lakes. Awards will be made for no more than $400,000 in federal funds per project, and may be for one or two years, though for no more than $200,000/year. 
Applications require 25% non-federal match. 
Successful projects will create and implement training programs that include the following types of programs, workshops, and services: 
 seamanship, navigation, electronics, and safety; 
 vessel and engine care, maintenance, and repair;  
 sustainable fishing practices; 
 other training needs as identified by the community. 
All projects must take place within the United States or territories or their respective waterways. 
Applicant organizations must complete and maintain three registrations to be eligible to apply for or receive an award. These registrations include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Tips and Tricks for Successful eRA Submissions, linked here.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NOAA-OAR-SG-2025-29392  
</t>
  </si>
  <si>
    <t>ROSES 2024: A.63 Ecohydrology</t>
  </si>
  <si>
    <t xml:space="preserve">Please note that this program requests optional Notices of Intent, which are due via NSPIRES by January 16,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</si>
  <si>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University Centers for Excellence in Developmental Disabilities Education, Research and Service</t>
  </si>
  <si>
    <t>Others (see text field entitled "Additional Information on Eligibility" for clarification) Section 151(a) of the DD Act of 2000 states that appropriations authorized under section 156(a)(1) of the DD Act shall be used to make five-year grants to entities in each State designated as a UCEDD to carry out the four core functions of interdisciplinary pre-service preparation and continuing education, community services, research and information dissemination.  Entities eligible to apply for funds under this funding opportunity announcement are the grantees which were awarded in FY 2020. Foreign entities are not eligible to compete for, or receive, awards made under this announcement. Faith-based and community organizations that meet the eligibility requirements are eligible to receive awards under this funding opportunity announcement.</t>
  </si>
  <si>
    <t>AoD's Office of Intellectual and Developmental Disabilities (OIDD), Administration on Disabilities, Administration for Community Living (ACL), U.S. Department of Health and Human Services (HHS) forecasts the possible availability of Fiscal Year (FY) 2025 funds to make five-year grants to up to 3 entities designated as University Centers for Excellence in Developmental Disabilities Education, Research, and Service (UCEDD). These grantees carry out four core functions: (1) interdisciplinary pre-service preparation and continuing education of students; (2) community services, including training, technical assistance, and/or demonstration and model activities; (3) research; and (4) dissemination of information. UCEDDs are interdisciplinary education, research and public service units of universities, or public or not-for-profit entities associated with universities that implement the four core functions addressing, directly or indirectly, one or more of the areas of emphasis (e.g., quality assurance, education and early intervention, child care, health, employment, housing, transportation, recreation and other services available or offered to individuals in a community, including formal and informal community supports, that affect their quality of life). Funds made available under this proposed funding opportunity will be used to pay for the Federal share of the cost of the administration and operation of programs.</t>
  </si>
  <si>
    <t>2025 Pacific Islands Marine Education and Training Mini Grant</t>
  </si>
  <si>
    <t>State governments Eligible applicants are individuals, institutions of higher education, nonprofits, commercial organizations, state, local and Indian tribal governments. Federal agencies and their employees, as well as Federal instrumentalities (including employees and members) are not eligible to apply. Projects must be conducted within Hawaii, Guam, the Commonwealth of the Northern Mariana Islands (CNMI), or American Samoa.</t>
  </si>
  <si>
    <t xml:space="preserve">The National Marine Fisheries Service (NMFS) is soliciting competitive applications for the Fiscal Year (FY) 2025 Pacific Islands Region Marine Education and Training (MET) Mini-Grant Program. Projects are being solicited to improve communication, education, and training on marine resource issues throughout the region and increase scientific education for marine related professions among coastal community residents, including indigenous Pacific islanders, Native Hawaiians, and other underserved communities in the region. </t>
  </si>
  <si>
    <t>NSF Boosting Research Ideas for Transformative and Equitable Advances in Engineering</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</si>
  <si>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 must hold a tenured faculty appointment at the Associate/Full Professor rank or equivalent at an organization that is eligible to submit as described under  Who May Submit Proposals.  Co-PIs are not allowed on any of the tracks.Separately submitted collaborative proposals are not allowed.
Principal Investigators are limited to one active BRITE award at a time.</t>
  </si>
  <si>
    <t>The National Science Foundation s strategic goals are to expand knowledge and build capacity for a diverse science and engineering workforce [1], consistent with NSF s commitment to diversity, equity, and inclusion in all science and engineering fields and research endeavors, as well as with US Government priorities [2,3].This solicitation seeks proposals that enable experienced researchers with active research programs to take risks not typically associated with proposals submitted to core programs by pivoting to research areas where they have no proven track record or gaining knowledge from a different discipline and using it to forge new directions in their research field, or enter a new field; or experienced researchers with a hiatus in research activity to reestablish a foundation for sustained research productivity and broader impacts [4-10]. It is grounded in the expectation that leveraging prior science and engineering outcomes, harnessing talent from the broad scientific research community, enabling time for reflection and deliberation, including by learning new skills and through immersion in new areas, and supporting intellectual risk taking will lead to scientific and technological innovation.
All BRITE proposals are expected to address fundamental research that creates new knowledge in one or more program areas of the Division of Civil, Mechanical and Manufacturing Innovation (CMMI).BRITE proposals must identify key research outcomes and describe the research plans for the period of funding sought.Although collaborative proposals are not permitted and will be returned without review, the PI can include a collaborator as senior personnel.The role of such senior personnel should be limited to reflect the intended investment in the PI.
The solicitation includes two funding tracks in support of experienced scientists and engineers (tenured or equivalent): Pivot and Relaunch.
The BRITEPivot Trackis intended to enable researchers to quickly adapt to the fast-moving pace of research by either leveraging their experience when pursuing a pivot into a field of research where they have no proven track record, or by incorporating research tools and methodologies from other fields of research to advance knowledge in their areas of expertise.
The BRITERelaunch Trackis intended to enable researchers who have had a hiatus in research activity to relaunch back into active research by reestablishing a foundation for sustained productivity and broader impacts in the context of a research idea with significant potential for advancing knowledge. 
PIs are strongly encouraged to contact a cognizant Program Officer to assess the responsiveness of their ideas to the BRITE solicitation prior to submission.Proposals that are outside the bounds of CMMI program areas will be returned without review.All funded projects will form an NSF BRITE cohort and investigators will be required to attend an annual PI meeting and may be invited to other activities.
The expected funding ranges for BRITE awards are:
$100,000 - $200,000 per year
The award duration is 3 years for all BRITE awards. The duration and total funding level of all BRITE awards must not exceed 36 months and $600,000, respectively.
BRITE proposals responding to this solicitation must include five sections within the 15-page Project Description with the following section headings: Past Contributions, Research Approach and Research Plan, Track Relevance, Outcomes, and Broadening Participation Plan.Please see  Full Proposal Preparation Instructions  for additional details.</t>
  </si>
  <si>
    <t>State Board Programming Grants</t>
  </si>
  <si>
    <t>NARA</t>
  </si>
  <si>
    <t>National Archives and Records Administration</t>
  </si>
  <si>
    <t>The National Historical Publications and Records Commission seeks proposals from State Historical Records Advisory Boards (SHRABs) to meet statewide and local needs to advance archival practice, build capacity, and promote the use and preservation of historical records at small and/or underserved
archival organizations.</t>
  </si>
  <si>
    <t>Archival Projects</t>
  </si>
  <si>
    <t>The NHPRC seeks archival projects that will significantly improve online public discovery and use of historical records collections. We welcome projects that engage the public, expand civic education, and promote understanding of the nationâ€™s history, democracy, and culture from the founding era to the present day. The Commission encourages projects focused on collections of Americaâ€™s early legal records, such as the records of colonial, territorial, county, and early statehood and tribal proceedings that document the evolution of the nationâ€™s legal history. Collections that center the voices and document the history of Black, Indigenous, and People of Color are especially welcome.</t>
  </si>
  <si>
    <t>Promoting Economic Prosperity and Human Development - Malabo Public Diplomacy Small Grants</t>
  </si>
  <si>
    <t>DOS-GNQ</t>
  </si>
  <si>
    <t>U.S. Mission to Equatorial Guinea</t>
  </si>
  <si>
    <t xml:space="preserve">Promoting Economic Prosperity and Human Development is a small grants program that seeks to promote economic diversification, capacity-building, entrepreneurship, and professional development through inclusive economic growth through working with individuals, non-profits, social enterprises, and other eligible applicants based in Equatorial Guinea and the United States. All programming must highlight shared values and promote bilateral cooperation and include a U.S. cultural element, or connection with U.S. expert(s), organization(s), or institution(s) in a specific field that will promote increased understanding of U.S. policy and perspectives. 
Examples of PDS Small Grants Program programs include, but are not limited to:
Â· Academic and professional lectures, seminars and speaker programs;
Â· Artistic and cultural workshops, joint performances and exhibitions;
Â· Professional and academic exchanges and programs;
Â· Professional development and capacity-building programs;
Expected programming components, but are not limited to:
Â· Conduct data collection activities; applicants are expected to measure indicators and milestones (i.e. surveys, exams)
Â· Ensure inclusive recruitment of participants. 
Â· Establish clear linkages to the communities that applicants intend to work with through prior work or partnerships before starting the initiative. 
Â· Assess the feasibility of the project prior to submitting the application. 
Program goals and objectives, but are not limited to: 
Â· Empowered civil society promoting inclusive economic growth, human rights, and biodiversity protection;
Â· Increased number of undereducated and underemployed youth being able to harness and monetize their talents through skill-building activities;
Â· Increased number of youth learning English;
Â· Increased number of entrepreneurs with access to resources, skills, and networks to build their small business and, ultimately, diversify the economy;
Â· Increased linkages between U.S. and Equatoguinean educational and business institutions;
Â· Increased number of youths with technological skills to enter the global economy. 
Â· Increased number of journalists with media skills to combat mis-and-disinformation. 
Priority Program Areas:
Â· Promoting inclusive economic growth by increasing social inclusion and promoting tolerance for minorities and vulnerable groups. 
Â· Promoting English language (i.e. promoting clubs, forums, social media, education, and arts)
Â· Strengthening the media (i.e. increasing media professionalism, access to diverse sources of news, and developing savvy consumption of news)
Â· Encouraging entrepreneurship and economic growth in under-served areas to diversify the economy (i.e. training in start-ups, skill development for people in informal sector, promoting the entrepreneurial spirit, supporting tourism, art, music, and culture development)
Â· Promoting economic diversification through environmental sustainability (i.e. education, training, and skills for individuals working in biodiversity conservation, eco-tourism, and agriculture).
Â· Promoting innovation and technology to build capacity.
Participants and Audiences:
Â· Youth and young professionals learning English; 
Â· Youth and young professionals who are artistic entrepreneurs;
Â· Media professionals;
Â·  
Â· Civil society;
Â· Individuals working in biodiversity conservation, agriculture, and ecotourism; 
Â· Youth, young professionals, educators, leaders, private-sector, public sector, entrepreneurs, influencers, rural communities, local government officials.
</t>
  </si>
  <si>
    <t>Archives Collaboratives</t>
  </si>
  <si>
    <t xml:space="preserve">Nonprofits having a 501(c)(3) status with the IRS, other than institutions of higher education </t>
  </si>
  <si>
    <t>The National Historical Publications and Records Commission seeks Archives Collaboratives of three or more repositories working together to make their collections more readily available for public discovery and use. The Commission welcomes collaborations that target institutional advancement for small and underserved local archives and repositories, especially those with collections that focus on the voices and perspectives of Black, Indigenous, and People of Color.</t>
  </si>
  <si>
    <t>Publishing Historical Records in Collaborative Digital Editions</t>
  </si>
  <si>
    <t>The National Historical Publications and Records Commission seeks proposals to publish online editions of historical records. All types of historical records are eligible, including documents,
photographs, born-digital records, and analog audio. Projects may focus on broad historical movements in U.S. history, such as law (including the social and political history of the law), politics, social reform, business, military, the arts, and other aspects of the national experience. Projects that center the voices and document the history of Black, Indigenous, and People of Color are especially welcome.
Opportunities for FY2026 are limited to current and previously funded projects in the Publishing Historical Records in Collaborative Digital Editions and Mellon Planning Grants for Collaborative Digital Editions in African American, Asian American, Hispanic American, and Native American
History and Ethnic Studies programs. Due to funding constraints, the program is not accepting proposals from new projects for FY2026.</t>
  </si>
  <si>
    <t>Nurse Faculty Loan Program (NFLP)</t>
  </si>
  <si>
    <t>Private institutions of higher education Who can apply You can apply if you are an accredited school of nursing with advanced nursing education programs. Any school(s) of nursing affiliated with this application must be accredited at the time of application  and for the duration of the award  by a recognized body or bodies, or a state agency, approved by the Secretary of Education for nurse education accreditation. Applicants must submit official documentation of accreditation in Attachment 1 for all affiliated nursing programs. Tribes and tribal organizations may be eligible if they own and operate accredited schools of nursing with an advanced nursing program. Types of eligible organizations If otherwise eligible, these types of domestic* organizations may apply. Public institutions of higher education Private institutions of higher education Non-profits with or without a 501(c)(3) IRS status For-profit organizations State, county, city, township, and special district governments, including the District of Columbia, domestic territories, and freely associated states Native American tribal governments Native American tribal organizations *Domestic means the 50 U.S.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</si>
  <si>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NFLP seeks to increase the number of qualified nursing faculty nationwide by providing low interest loans for individuals studying to be nurse faculty and loan cancellation for those who then go on to work as faculty. Successful applicants must establish, operate, and maintain a student loan program that provides loans to students enrolled in advanced nursing education degree programs. NFLP recipients must also monitor compliance with program requirements.
 NFLP graduates can have up to 85 percent of their student loan, including interest, canceled if they work full-time as nurse faculty for up to four years at an accredited nursing school. Advanced Practice Registered Nurses (APRNs) who work full-time as preceptors in academic-practice partnerships are also considered faculty under the NFLP, expanding clinical training for nursing students.</t>
  </si>
  <si>
    <t>Autism Secondary Data Analysis Research (Autism SDAR)</t>
  </si>
  <si>
    <t>Independent school districts Any public or private entity, including research centers or networks.</t>
  </si>
  <si>
    <t>The Autism Secondary Data Analysis program supports applied research through analysis of existing databases or administrative records to improve health outcomes, and the quality, efficiency, and accessibility of health care services for children and adolescents with autism and other developmental disabilities (DD) across the lifespan. This program will fund up to eight 2-year grants.</t>
  </si>
  <si>
    <t>Maternal and Child Health Secondary Data Analysis Research (MCH SDAR)</t>
  </si>
  <si>
    <t>Native American tribal organizations (other than Federally recognized tribal governments) Maternal and Child Health SDAR: Only public or non-profit institutions of higher learning (i.e., education) and public or private non-profit agencies engaged in research or in programs relating to maternal and child health and/or services for children with special health care needs may apply. See 42 CFR  51a.3 (b).</t>
  </si>
  <si>
    <t>The purpose of the SDAR programs is to support research that analyzes existing national data sets or administrative records to answer questions that can improve the health and well-being of MCH populations, including children and adolescents with Autism/DD.</t>
  </si>
  <si>
    <t>Office of Elementary and Secondary Education (OESE): Office of Indian Education (OIE) Formula Grants to Local Educational Agencies, Assistance Listing Number (ALN) number 84.060A</t>
  </si>
  <si>
    <t>Native American tribal governments (Federally recognized) 1.  Eligible Applicants:  The following entities are eligible under this program: certain LEAs, as prescribed by ESEA section 6112(b), including charter schools authorized as LEAs under State law; certain schools funded by the Bureau of Indian Education of the U.S. Department of the Interior (BIE), as prescribed by ESEA section 6113(d); Indian Tribes and IOs under certain conditions, as prescribed by ESEA section 6112(c); and ICBOs, as prescribed by ESEA section 6112(d).  Consortia of two or more eligible entities are also eligible under certain circumstances, as prescribed by ESEA section 6112(a)(4).</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</si>
  <si>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Formula Grants program provides grants to support local educational agencies (LEAs), Indian Tribes and organizations, and other eligible entities in developing and implementing elementary and secondary school programs that serve Indian students.  These funds must be used to support comprehensive programs that are designed to meet the unique cultural, language, and educational needs of American Indian and Alaska Native (AIAN) students and ensure that all students meet challenging State academic standards.  The information gathered from the projectâ€™s final annual performance report (APR) will be utilized to complete OIEâ€™s required annual reporting.  Specifically, the APR covers the Secretaryâ€™s established performance measures for assessing the effectiveness and efficiency of the Formula Grants program as detailed in this notice.  
Assistance Listing Number (ALN) 84.060A.</t>
  </si>
  <si>
    <t>FY25 Cultural Property Agreement Implementation Grants</t>
  </si>
  <si>
    <t>DOS-ECA</t>
  </si>
  <si>
    <t>Bureau Of Educational and Cultural Affairs</t>
  </si>
  <si>
    <t>Others (see text field entitled "Additional Information on Eligibility" for clarification) Foreign Institutions of Higher Education, Foreign Organizations, Foreign Public Entities U.S. Nonprofit Organizations 501(c)(3) U.S. Institutions of Higher Education</t>
  </si>
  <si>
    <t>This competition is organized through U.S. embassies in the 30 countries with which the United States has a signed bilateral cultural property agreement or where emergency import restrictions on archaeological and ethnological material are in effect under the Convention on Cultural Property Implementation Act (19 U.S.C. 2601 et seq), namely: Afghanistan, Albania, Algeria, Belize, Bolivia, Bulgaria, Cambodia, Chile, China, Colombia, Costa Rica, Cyprus, Ecuador, Egypt, El Salvador, Greece, Guatemala, Honduras, India, Iraq, Italy, Jordan, Libya, Mali, Mexico, Morocco, Nigeria, Pakistan, Peru, Syria, Tunisia, TÃ¼rkiye, Ukraine, Uzbekistan, and Yemen.
See the Related Documents tab of this Notice for full program information and application instructions.
Contact the appropriate U.S. embassy or consulate for specific application instructions and deadlines.</t>
  </si>
  <si>
    <t>Innovative Approaches for TB Prevention and Case Finding to END TB</t>
  </si>
  <si>
    <t>Unrestricted (i.e., open to any type of entity above), subject to any clarification in text field entitled "Additional Information on Eligibility" N/A</t>
  </si>
  <si>
    <t>The purpose of this NOFO is to develop, implement, and evaluate evidence-based and innovative approaches under the following two thematic components: Component A - Prevent TB infection and halt progression of TB disease in high-burden settings â€“ with a focus on the following two strategies: TB preventive treatment (TPT) and nutrition; and Component B - Find TB infection and TB disease, including sub-clinical TB, using newer tools and products - in all populations including those at increased/higher risk for TB (i.e., PLHIV, children, displaced persons, healthcare workers, economically disadvantaged persons with other co-morbid conditions [alcohol use disorders, diabetes mellitus, persons who use illicit substances, undernourished], and older adults).</t>
  </si>
  <si>
    <t>Advancing Translation of Long-Acting Strategies for HIV and HIV-Associated Co-infections (AT LASt) (R61/R33 Clinical Trial Not Allowed)</t>
  </si>
  <si>
    <t>Others (see text field entitled "Additional Information on Eligibility" for clarification)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</si>
  <si>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notice of funding opportunity (NOFO) is to support preclinical activities for the development of safe and effective long-acting/sustained release (LA/SR) technologies for prevention and treatment of HIV and HIV-associated tuberculosis (TB), hepatitis B (HBV) and hepatitis C (HCV), and to ultimately advance these products toward submission of an Investigational New Drug (IND) application to the U.S. Food and Drug Administration (FDA). Solicited LA/SR products will have demonstrated strong rationale, competitive advantage, and effectiveness in appropriate non-clinical or animal models at intermittent dosing from either a single administration (injection, topical, oral administration) or continuous dosing regimen (implant, transdermal patch, etc.).</t>
  </si>
  <si>
    <t>Cancer Tissue Engineering Collaborative: Enabling Biomimetic Tissue-Engineered Technologies for Cancer Research (R01 Clinical Trial Optional)</t>
  </si>
  <si>
    <t>Through this Notice of Funding Opportunity (NOFO), the National cancer Institute (NCI) will support the development and characterization of state-of-the-art biomimetic tissue-engineered technologies for cancer research. Collaborative, multidisciplinary projects that engage the fields of regenerative medicine, tissue engineering, biomaterials, and bioengineering with cancer biology will be essential for generating novel experimental models that mimic cancer pathophysiology in the context of a testable cancer research hypothesis. The projects supported by this NOFO will collectively participate in the Cancer Tissue Engineering Collaborative (TEC) Research Program.
The Cancer TEC Program will (1) catalyze the advancement of innovative, well characterized in vitro and ex vivo systems available for cancer research, (2) expand the breadth of these systems to several cancer types, and (3) promote the exploration of cancer phenomena with biomimetic tissue-engineered systems.</t>
  </si>
  <si>
    <t>ROSES 2024: A.62 FarmFlux Science Team</t>
  </si>
  <si>
    <t xml:space="preserve">Please note that this program requests optional Notices of Intent, which are due via NSPIRES by January 17,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</si>
  <si>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Microbial-based Cancer Imaging and Therapy - Bugs as Drugs (R01 Clinical Trial Not Allowed)</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</si>
  <si>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</si>
  <si>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Through this Notice of Funding Opportunity (NOFO), the National Cancer Institute (NCI) solicits grant applications proposing to utilize bacteria, archaebacteria, bacteriophages, or other non-oncolytic viruses and their natural products to study the underlying mechanisms of the complex interactions between microorganisms, tumors, and the immune system, and to explore their clinical potential for cancer imaging, therapeutics or diagnostics. Projects can focus on using microorganisms as anti-tumor agents, as activators of anti-tumor immunity, or as delivery vehicles for treatment, diagnosis, or imaging, complementing or synergizing with existing tools and approaches. This NOFO will support basic mechanistic and preclinical studies in cell culture and animal models. Applicants are encouraged to address both the microbial and tumor aspects of microbial tumor interactions relevant to microbial-based cancer therapy (including therapies for oral cancer), tumor imaging, tumor detection, or diagnosis.
This funding opportunity is part of broader NCI-sponsored research on microbial-based cancer therapy. (link to OCCAM)</t>
  </si>
  <si>
    <t>Role of T-Cells in HIV CNS Reservoir Seeding, Persistence, and Neuropathogenesis (R21 Clinical Trial Not Allowed)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</si>
  <si>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</si>
  <si>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Eradicating latent reservoirs of HIV-1 within the body and achieving a sterilizing or functional cure have become priority areas in the AIDS field and NIH AIDS programs across many Institutes and Centers, including NIMH. In addition understanding the mechanisms of HIV- associated co-morbidities in the setting of effective anti-retroviral therapy (ART) is a major topic of interest in the field. HIV Associated CNS (central nervous system) co-morbidities continue to exist despite excellent virologic control in this compartment. HIV persistence and neuroinflammation also continues to observed in the CNS in the setting of ART. HIV targets the CNS early in infection, and HIV-infected individuals suffer from mild forms of neurological impairments even under antiretroviral therapy (ART). CD4+ T cells and monocytes mediate HIV entry into the brain and constitute a source for HIV persistence and neuronal damage. CD8+ T cells are also massively recruited in the CNS in acute infection to control viral replication.</t>
  </si>
  <si>
    <t>Role of T-Cells in HIV CNS Reservoir Seeding, Persistence, and Neuropathogenesis (R01 Clinical Trial Not Allowed)</t>
  </si>
  <si>
    <t>Sea Grant Programs Only - FY2025 Aquaculture Legal, Regulatory, and Policy Grants</t>
  </si>
  <si>
    <t>Others (see text field entitled "Additional Information on Eligibility" for clarification) The following entities are eligible to submit to this opportunity: Sea Grant College Programs, Sea Grant Institutional Programs, and Sea Grant Coherent Area Programs. For the remainder of this document, these entities are collectively referred to as  Sea Grant Programs . Programs are encouraged to partner with other Sea Grant Programs and/or other entities such as individuals, State and Tribal Agencies/Organizations, MSIs, NGOs, aquaculture industry members and associations, high schools,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match._x000D_
_x000D_
To be eligible to apply or receive an award, applicants  must complete and maintain three registrations; Grants.gov, and eRA Commons. For each, the complete registration process can take 4 to 6 weeks, so applicants should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
  </si>
  <si>
    <t xml:space="preserve">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Subject to the availability of funding, Sea Grant anticipates that approximately $500,000 will be available to support broad, non-proprietary research projects for a period of up to three years with the goal of addressing legal, regulatory, and policy topics relevant to U.S. coastal, marine, and Great Lakes aquaculture communities. Federal funds ranging from $100,000-$250,000 may be requested per application. Successful proposals will address topical needs (described below) and preferably include participation and involvement of Sea Grant extension personnel and members of the aquaculture community, including state regulators/resource managers. These investments are consistent with Sea Grantâ€™s focus area of Sustainable Fisheries and Aquaculture (SFA) and the Sea Grant Networkâ€™s 10-year Aquaculture Vision, both of which support NOAA and Department of Commerce aquaculture goals. 
The following entities are eligible to submit to this opportunity: Sea Grant College Programs, Sea Grant Institutional Programs, and Sea Grant Coherent Area Programs. For the remainder of this document, these entities are collectively referred to as â€œSea Grant Programsâ€. Programs are encouraged to partner with other Sea Grant Programs and/or other entities such as individuals, State and Tribal Agencies/Organizations, Minority Serving Institutions (MSIs), non-governmental organizations (NGOs), aquaculture industry members and associations, high schools,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All projects must take place within the United States or territories or their respective waterways. 
Applicants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NOAA-OAR-SG-2025-29312. 
Please note that a submission checklist to assist applicants in ensuring that they address components and elements of the NOFO is provided on the final page of this document. </t>
  </si>
  <si>
    <t>Community Wildfire Defense Grant 2024 (FY25) Northeast-Midwest</t>
  </si>
  <si>
    <t>USDA-FS</t>
  </si>
  <si>
    <t>Forest Service</t>
  </si>
  <si>
    <t>This announcement contains the Notice of Funding Opportunity (NOFO)/Instructions. To apply after reading the NOFO, visit the application portal at cwdg.forestrygrants.org. 
The purpose of the Community Wildfire Defense Grant is to assist at-risk local communities and Indian Tribes with planning and mitigating against the risk created by wildfire.  
The Act prioritizes at-risk communities in an area identified as having high or very high wildfire hazard potential, are low-income, and/or have been impacted by a severe disaster. More details on these three priorities can be found in the Notices of Funding Opportunity (NOFOs).  
The CWDG helps communities in the wildland urban interface (WUI) implement the three goals of the National Cohesive Wildland Fire Management Strategy (Cohesive Strategy):  
 Restore and Maintain Landscapes: Landscapes, regardless of jurisdictional boundaries, are resilient to fire, insect, disease, invasive species, and climate change disturbances, in accordance with management objectives.  
 Create Fire Adapted Communities: Human populations and infrastructure are as prepared as possible to receive, respond to, and recover from wildland fire.  
 Improve Wildfire Response: All jurisdictions participate in making and implementing safe, effective, efficient risk-based wildfire management decisions.  
This program is authorized in Public Law 117-58, Infrastructure Investment and Jobs Act, commonly referred to as the Bipartisan Infrastructure Law (BIL).  
There are two primary project types for which the grant provides funding:  
 The development and revision of Community Wildfire Protection Plans (CWPP)  
 The implementation of projects described in a CWPP that is less than ten years old  
Applicant Webinars for CWDG Round 3 have been scheduled as follows. The application process in Round 3 is the same for all applicants. Any applicant in any region, area, or Tribe may attend any webinar, they will all have the same content, however, the December 4th webinar will be more focused on Tribal applications and Tribal application Q A. 
This information will also be on the Forest Service CWDG website, link below. 
To attend a webinar, please register in advance by clicking on the link following each date: 
Monday, December 2nd, 2pm-4pm Eastern 
https://us06web.zoom.us/webinar/register/WN_6-i032QISWGJhNKj6g-UyA 
Wednesday, December 4th, 12:30pm-2:30pm Eastern (Tribal focused) 
https://us06web.zoom.us/webinar/register/WN_C6N_tnRGSwSgbZU0CFifrQ 
Friday, December 6th, 2pm-4pm Eastern 
https://us06web.zoom.us/webinar/register/WN_Jnadv39gSPKwBv9qYqeAGQ 
Applicant Webinar recordings will be made available soon after the webinars for those unable to attend one of the live offerings, check back on the Forest Service CWDG website for recordings. 
In addition to the webinars above, the Forest Service will be offering periodic "office hours" for applicants throughout the application period. Please visit the CWDG website below for dates and times.</t>
  </si>
  <si>
    <t>Community Wildfire Defense Grant 2024 (FY25) West</t>
  </si>
  <si>
    <t>Community Wildfire Defense Grant 2024 (FY25) South</t>
  </si>
  <si>
    <t>Community Wildfire Defense Grant 2024 (FY25) Tribes</t>
  </si>
  <si>
    <t xml:space="preserve">County governments </t>
  </si>
  <si>
    <t>Scholarships for Disadvantaged Students</t>
  </si>
  <si>
    <t>Nonprofits that do not have a 501(c)(3) status with the IRS, other than institutions of higher education If otherwise eligible, the following types of domestic* organizations may apply.Public health professions schoolsNon-profit private health professions schoolsNon-profit health professions schools having a 501(c)(3) IRS statusNon-profit health professions schools with an IRS status other than 501(c)(3)For-profit nursing and physician assistant schoolsNative American tribal governmentsNative American tribal organizationsDomestic means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</si>
  <si>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Scholarships for Disadvantaged Students (SDS) program increases diversity in the health professions and nursing workforce by providing awards to eligible health professions schools for use in awarding scholarships to students from disadvantaged backgrounds who have financial need, including students who are members of racial and ethnic minority groups.</t>
  </si>
  <si>
    <t>Limited Competition: NIH Neuroscience Doctoral Readiness Program (DR. Program) (R25 Clinical Trial Not Allowed)</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</si>
  <si>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apply.Foreign components, as defined in the NIH Grants Policy Statement, are not allowed.</t>
  </si>
  <si>
    <t>This announcement provides support to eligible, domestic institutions to develop and implement effective, approaches to biomedical research education and mentoring that will keep pace with the rapid evolution of the research enterprise. This NIH Neuroscience Doctoral Readiness Program (DR Program) expects that the proposed research education programs will incorporate extensive research experiences within the NINDS mission and well-designed courses for skills development and education to prepare recent baccalaureates from diverse backgrounds to transition into and complete rigorous, research-focused doctoral degree programs (e.g., Ph.D. or M.D./Ph.D.) in biomedical fields.This is a limited competition funding opportunity announcement to support postbaccalaureate programs that will be affiliated with a funded NIH T32 program. Eligibility is limited to PD(s)/PI(s) or MPI teams that include at least one PD/PI of a grant supported by the following FOAs: T32 - Jointly Sponsored Institutional Predoctoral Training Program (JSPTPN), PAR-20-076;NINDS T32 - Institutional Research Training Grant, PAR-21-149; or NINDS T32 - Institutional Translational Research Training Program, PAR-19-228. In all cases, a PD/PI of the T32 grant from a FOA cited above, must be the PD/PI or an MPI of this R25.This Funding Opportunity Announcement (FOA) does not allow appointed participants to lead an independent clinical trial but does allow them to obtain research experience in a clinical trial led by a mentor or co-mentor.</t>
  </si>
  <si>
    <t>Cancer Epidemiology Cohorts: Building the Next Generation of Research Cohorts (U01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</si>
  <si>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</si>
  <si>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Through this funding opportunity announcement, the National Cancer Institute (NCI) solicits applications to Cancer Epidemiology Cohorts: Building the Next Generation of Research Cohorts PAR. This funding opportunity announcement seeks to support initiating and building the next generation of population-based cancer epidemiology cohorts to address specific knowledge gaps in cancer etiology and survivorship. Specifically, it will support methodological work necessary to initiate and build cancer epidemiology cohorts that can address critical scientific gaps concerning (i) new or unique exposures in relation to cancer risks and outcomes and (ii) achievement of diverse populations in cohorts with the inclusion of understudied populations (e.g., racial/ethnic groups, rural populations, and persistent poverty areas) with substantial community engagement.</t>
  </si>
  <si>
    <t>Pediatric Pulmonary Centers Program</t>
  </si>
  <si>
    <t>Others (see text field entitled "Additional Information on Eligibility" for clarification) Who can apply You may apply if you are an institution of higher learning, meaning: Any college or university accredited by a regionalized body or bodies approved for such purpose by the Secretary of Education. Any teaching hospital which has higher learning among its purposes and functions and which has a formal affiliation with an accredited school of medicine and a full-time academic medical staff holding faculty status in such school of medicine.  Types of eligible organizations These types of domestic* organizations may apply. Public institutions of higher education. Non-profit private institutions of higher education. Native American tribal governments and organizations that are institutions of higher learning (education). See 42 CFR  51a.3(b). Individuals are not eligible applicants under this NOFO. *Domestic means the 50 states, the District of Columbia, the Commonwealth of Puerto Rico, the Northern Mariana Islands, American Samoa, Guam, the U.S. Virgin Islands, the Federated States of Micronesia, the Republic of the Marshall Islands, and the Republic of Palau.</t>
  </si>
  <si>
    <t>The purpose of the PPC program is to provide interdisciplinary training to improve the health of infants, children, and adolescents with chronic respiratory conditions, sleep issues, and other related special health care needs.</t>
  </si>
  <si>
    <t>FY25 Pacific Islands - Hawai'i Marine Wildlife Response and Outreach</t>
  </si>
  <si>
    <t>Private institutions of higher education Eligible applicants are individuals, institutions of higher education, nonprofits, commercial organizations, state, local, and Indian tribal governments. Federal agencies and their employees, as well as, Federal instrumentalities (including employees and members) are not eligible to apply.</t>
  </si>
  <si>
    <t xml:space="preserve">The National Marine Fisheries Service (hereinafter, "NMFS") is soliciting competitive applications for the fiscal year 2025 Pacific Islands - Hawai'i Wildlife Response and Outreach competition. Projects are being solicited to support specific programmatic activities related to the following 3 priorities: Priority 1: Hawaiian Monk Seal Management Support, Field Response, and Outreach: Projects to conduct in-field response and educational outreach for Hawaiian monk seals occurring on the islands of O'ahu, Maui, Moloka'i, or Hawai'i Island. Funding availability is island and species-specific, with total funding not to exceed $460,000 (up to 4 proposals may be funded). Priority 2: Sea Turtle Management Support, Field Response, and Outreach: Projects to conduct in-field response and educational outreach for sea turtles occurring on the islands of Maui or Hawai'i Island (western Kona side). Funding availability is island and species-specific with total funding not to exceed $140,000 (up to 4 proposals may be funded). Priority 3: Native Hawaiian engagement in cetacean and sea turtle response. Requested funding per project is recommended to not exceed $15,000 (up to 2 proposals may be funded). </t>
  </si>
  <si>
    <t>FY 2025 University Nuclear Research Infrastructure Revitalization</t>
  </si>
  <si>
    <t>Projects proposed under the Infrastructure Revitalization FOA are intended to:
â€¢ revitalize the U.S. capacity for university-led nuclear R&amp;D by establishing and/or improving infrastructure to align with the advanced reactor technologies being deployed by the U.S. nuclear industry;
â€¢ support innovative combinations of facilities, equipment, and related capabilities to maximize the value of investments toward R 
â€¢ emphasize support for rapid, lower-cost approaches that can enable advanced-reactor-relevant R&amp;D, education and workforce development prior to any universities establishing advanced research reactors; and
â€¢ involve consortia among diverse types of institutions to maximize participation and realization of benefits by underrepresented communities that have historically faced challenges to such access.
Requests should focus on a goal or capability that significantly adds to the current U.S. capacity to support advanced reactor R&amp;D, education, and workforce development. Applicants must demonstrate the connection among requested pieces of equipment or other project elements toward a key objective or outcome. Applications made of several uncorrelated equipment requests are not of interest. A request should not duplicate existing capabilities.
Activities that involve the planning or construction of new university nuclear reactors will not be considered.
NE reserves the right to respond to potential shifts in priorities during FY 2025 that may be driven by events, policy developments, or Congressional/budget direction. DOE-NE will factor such considerations into decisions related to the timing and scale of award announcements associated with this FOA.</t>
  </si>
  <si>
    <t>Research Opportunities in Established Cancer Epidemiology Cohort Studies (U01 Clinical Trial Not Allowed)</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</si>
  <si>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</si>
  <si>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Through this Funding Opportunity Announcement (FOA), the National Cancer Institute (NCI) encourages grant applications to support cancer epidemiology research in established cohort studies, defined as studies that have achieved their initial planned recruitment goal. Applications must include hypothesis-based research using data from an established cohort study and are expected to include support for cohort maintenance, continued follow-up, and sharing of the existing resources in addition to addressing research questions across the cancer control continuum.</t>
  </si>
  <si>
    <t>Experiential Learning for Emerging and Novel Technologies</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</si>
  <si>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State and Local Governments including those entities interested in workforce development and education.
Other Federal Agencies and Federally Funded Research and Development Centers (FFRDCs): Prospective proposers from Other Federal Agencies and Federally Funded Research and Development Centers (FFRDCs), including NSF sponsored FFRDCs, must follow the guidance in PAPPG Chapter I.E.2 regarding limitations on eligibility.</t>
  </si>
  <si>
    <t xml:space="preserve">
Through this initiative, the Directorate for STEM Education (EDU) and the Directorate for Technology, Innovation and Partnerships(TIP), in partnership with Micron Technology, Inc. (Micron) through the Micron Foundation, seek tosupport experiential learning opportunitiesfor individualsfrom all professional and educationalbackgrounds, resulting in increased access to, and interest in, career pathways inemerging technologyfields (e.g.,advanced manufacturing, advanced wireless, artificial intelligence, biotechnology,quantum information science,semiconductors, and microelectronics). As NSF seeks to support the development of technologies in such fields, similar support will be needed to foster and grow a science, technology, engineering, and mathematics (STEM) workforce comprising and enabling all Americans to contribute to such innovation. Large-scale challenges likeadvances in microelectronics or artificial intelligence also requireaSTEMworkforcethatbringsvaried perspectives and expertise to further accelerate the translation of science and engineering discoveries into large-scale solutions. Moreover, as current and new emerging technologies continue to evolve, unforeseen issues around security, safety and privacy will impact thepreparationof the workforce.Emerging technologiesare also dynamicandrapidly changing, with career entry and advancement often requiring "learning-by-doing" experience, even for those with some STEM education.Therefore, NSF recognizes that a competitiveemerging technology workforcemust includeindividualsfrom traditional and nontraditional education pathways as well as those individuals who may have   out of traditional educational pathways.
The ExLENT program willsupport experiential learningopportunitiesdesigned toprovide cohorts of learnerswiththe crucial skills needed to succeed inemerging technologyfieldsand prepare themto enterthe workforce ready to solve our Nation smost pressing challenges.Furthermore, theExLENTprogram will directly support NSF spriorityto enable all Americans the opportunity to become a part of the emerging technologies workforce1, thereby assuring the Nation s competitiveness in STEM. 
Key goals of the program are to (1) expand access to career-enhancing experientiallearning opportunitiesfor all individuals, including adult learners interested in re-skilling and/or upskilling (e.g., those who face or who have faced significant barriers to accessing a formal STEM education);(2)promotecross-sectorpartnershipsbetweenorganizationsinemerging technologyfields and those with expertise in workforce development;and (3) develop a workforce aligned with regional economies based onemergingtechnologiesacross the Nation, in alignment with the mission of the TIP Directorate.
</t>
  </si>
  <si>
    <t>FY2025 NMFS-Sea Grant Fellowship in Population and Ecosystem Dynamics and Marine Resource Economics</t>
  </si>
  <si>
    <t>Others (see text field entitled "Additional Information on Eligibility" for clarification) The following entities are eligible to submit to this opportunity:Full applications submitted to Grants.gov must come from an eligible Sea Grant program. Prospective fellows enrolled towards a degree in a graduate program in a state or territory served by a Sea Grant program must submit to that program. Applications that are not approved and submitted by the student s state Sea Grant program will not be considered for review. Interested students in states or territories without a Sea Grant program must submit their applications to the Sea Grant program to which they were referred to by the NMFS-Sea Grant Fellowship Program Manager listed in section VII.Those eligible to submit to a Sea Grant Program:1) Prospective fellows must be United States citizens.2) At the time of application, prospective fellows must be admitted to a Ph.D. degree program at a U.S. accredited university in the U.S. in population dynamics, ecosystem dynamics, resource or environmental economics, or a related field such as wildlife biology, fishery biology, natural resource management, marine biology, quantitative ecology, applied mathematics, applied statistics, or simulation modeling at an institution of higher education in the United States or its territories.3) Alternatively, a prospective fellow may submit a signed letter from the institution indicating provisional acceptance to a Ph.D. degree program conditional on obtaining financial support such as this fellowship.The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t>
  </si>
  <si>
    <t>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This notice announces that applications may be submitted for the 2025 NMFS-Sea Grant Fellowship in Population and Ecosystem Dynamics and Marine Resource Economics. When an interested student is applying, be sure to specify your projectâ€™s focus area in your title page: either Population and Ecosystem Dynamics (PED), or Marine Resource Economics (MRE). See Section IV.B, Content and Form of Application, for more information. 
Population and Ecosystem Dynamics: Sea Grant anticipates funding at least four new Ph.D. fellowships in 2025 to students who are interested in careers related to marine ecosystem and population dynamics. The emphasis will be on the research and development of quantitative methods for assessing the status of marine ecosystems; managed fish, invertebrates, and other targeted species; and marine mammals, seabirds, and other protected species. 
Marine Resource Economics: Sea Grant anticipates funding at least one new Ph.D. fellowship in 2025 to students who are interested in careers related to the development and implementation of quantitative methods for assessing the economics of the conservation and management of living marine resources. 
Fellows will work on thesis questions of public interest and relevance to the National Marine Fisheries Service (NMFS) under the guidance of NMFS mentors at participating NMFS Science Centers or Offices. The NMFS-Sea Grant Fellowship in Population and Ecosystem Dynamics and Marine Resource Economics meets NOAA's healthy oceans goal of â€œmarine fisheries, habitats, biodiversity sustained with healthy and productive ecosystems.â€ 
Application packages may propose up to $66,700 in federal funding plus at least 20% matching ($13,340) funding per year. These awards will be jointly funded by NMFS and Sea Grant. These fellowships can provide support for up to three years. Indirect costs are not allowable for either the fellowship or for any costs associated with the fellowship including waived indirect costs as match (15 C.F.R. Â§ 917.11(e), "Guidelines for Sea Grant Fellowships). 
Interested students are strongly encouraged to reach out to the Sea Grant program in their state/territory at least one month prior to the state application deadline to receive application support and provide notification of intent to apply. 
This document sets out requirements for submitting to NOAA-OAR-SG-2025-29114. 
Applicant organizations must complete and maintain three registrations to be eligible to apply for or receive an award. These registrations include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A guide to best practices for successfully submitting applications to eRA is located here.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NOAA-OAR-SG-2025-29114.</t>
  </si>
  <si>
    <t>Systematic Testing of Radionuclides in Preclinical Experiments (STRIPE) (R01 Clinical Trial Not Allowed)</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</si>
  <si>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</si>
  <si>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Through this Notice of Funding Opportunity (NOFO), the National Cancer Institute (NCI) solicits R01 research projects utilizing state-of-the-art cancer biology methods and model systems to study effects of different types of radiation used in radionuclide-based therapeutics (e.g., radiopharmaceutical therapy) on normal tissue, tumor cells and the tumor microenvironment.</t>
  </si>
  <si>
    <t>Systematic Testing of Radionuclides in Preclinical Experiments (STRIPE) (R21 Clinical Trial Not Allowed)</t>
  </si>
  <si>
    <t>The STRIPE program seeks to support pre-clinical research projects utilizing state-of-the-art cancer biology methods and model systems that study how radiopharmaceutical therapy (RPT) agents affect the biology of normal tissue, tumor cells and the tumor microenvironment.  Ideally, proposed aims will be designed to test hypotheses on how RPT dynamically impacts cancer biology processes, which can serve as the pre-clinical basis for developing new targeting strategies and approaches.  Studies supported by this PAR will ultimately inform the rationale and design of new RPT-based clinical trials.</t>
  </si>
  <si>
    <t>Coupling, Energetics, and Dynamics of Atmospheric Regions</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</si>
  <si>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</si>
  <si>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The Coupling, Energetics, and Dynamics of Atmospheric Regions (CEDAR) program supports research to increase our understanding of the behavior of atmospheric regions from the middle atmosphere upward through the thermosphere and ionosphere into the exosphere. Projects explore coupling, energetics, chemistry, and dynamics on regional and global scales. The research topics include investigations of upper atmosphere responses due to a) processes driven by the lower atmospheric perturbations and (b) solar radiation and particle inputs from above. The activities supported by this program include observations from ground-based and space-based platforms, as well as theory and modeling of the upper atmosphere of the Earth and other planets in our solar systems. Novel approaches that include AI and ML tools and open data and open science practices are encouraged.</t>
  </si>
  <si>
    <t>NASA Established Program to Stimulate Competitive Research (EPSCoR) Rapid Response Research (R3)</t>
  </si>
  <si>
    <t>Others (see text field entitled "Additional Information on Eligibility" for clarification) The National Science Foundation (NSF) determines overall jurisdiction eligibility for NASA EPSCoR. The latest available NSF eligibility tables are used to determine overall jurisdiction eligibility for NASA EPSCoR. The NSF 2023 eligibility table is available at: https://nsf-gov-resources.nsf.gov/2022- 06/EPSCoR%20Eligibility%20Table%20Fiscal%20Year%202023.pdf. The following jurisdictions are eligible to submit a proposal in response to this NOFO: Alabama, Alaska, Arkansas, Delaware, Guam, Hawaii, Idaho, Iowa, Kansas, Kentucky, Louisiana, Maine, Mississippi, Montana, Nebraska, Nevada, New Hampshire, New Mexico, North Dakota, Oklahoma, Puerto Rico, Rhode Island, South Carolina, South Dakota, U.S. Virgin Islands, Vermont, West Virginia, and Wyoming. Only three proposals per Institution within the EPSCoR Jurisdiction shall be accepted. Proposals shall be submitted through the Authorized Organization Representative (or their designee).</t>
  </si>
  <si>
    <t>This Notice of Funding Opportunity (NOFO) solicits proposals that are expected to establish researchactivities that will make significant contributions to NASAâ€™s strategic research and technologydevelopment priorities and contribute to the overall research infrastructure, science, and technologycapabilities of higher education, as well as the economic development of the jurisdiction receiving funding.Each funded NASA EPSCoR proposer shall work closely with a NASA researcher to focus on developingcompetitive research and technology for the solution of scientific and technical issues of importance to theNASA Mission Directorates and Centers as listed in the Appendix-A, NASA Mission Directorates andCenter Alignment. This will allow EPSCoR researchers to work alongside NASA and commercial partnersand is intended to strengthen the bonds among NASA EPSCoR jurisdictions, NASA, commercial partners,and other entities.</t>
  </si>
  <si>
    <t>F25AS00099_FY 2025 Competitive State Wildlife Grant (C-SWG) Program_Funding Opportunity Announcement</t>
  </si>
  <si>
    <t>DOI-FWS</t>
  </si>
  <si>
    <t>Fish and Wildlife Service</t>
  </si>
  <si>
    <t xml:space="preserve">Others (see text field entitled "Additional Information on Eligibility" for clarification) Please note that ONLY the State, Territory, and District of Columbia fish and wildlife agencies and the four regional associations of fish and wildlife agencies (NEAFWA, SEAFWA, MAFWA, and WAFWA) are eligible to apply. All other entities including but not limited to academic institutions, non-profit or for-profit organizations, private landowners or other individuals, or local units of government are not eligible to apply. Applications are reviewed for eligibility based on criteria provided in the  Application Review Information  section of this announcement, under  Eligibility Review. </t>
  </si>
  <si>
    <t>The Competitive State Wildlife Grant (C-SWG) Program provides Federal cost sharing awards to help the State, Territory, and District of Columbia fish and wildlife agencies and their associations design and implement proactive conservation programs benefiting wildlife and their habitats. Proactive approaches to conservation help recipients and their conservation partners avoid more prescriptive Federal regulatory requirements associated with species listing under the Endangered Species Act.Eligible activities include conservation planning and implementation. Planning activities include strategic enhancements to a State or Territory Wildlife Action Plan (Plan) that address best practices identified in this announcement. Implementation activities are those carried out to execute an approved Plan. Priority for use of these funds must be placed on species of greatest conservation need (SGCN) and/or their habitats.This announcement provides complete information on preparing and submitting an application, including details on award Tiers, partnership requirements, and the maximum Federal share of an award. The award Tiers are intended to encourage partnerships dedicated to cross-jurisdictional conservation efforts supporting landscape-scale conservation. Information on the C-SWG Program and the Plan Enhancement Subprogram is provided separately. Tables showing the Tier limits and requirements are available here.</t>
  </si>
  <si>
    <t>ROSES 2024: A.22 NASA Energy and Water Cycle Study</t>
  </si>
  <si>
    <t xml:space="preserve">NOTICE: Amended January 16, 2025. This amendment delays the proposal due date to March 12, 2025. 
ï»¿Please note that this program requests optional Notices of Intent, which are due via NSPIRES by January 9,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</si>
  <si>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F.12 Artemis IV Deployed Instruments Program</t>
  </si>
  <si>
    <t xml:space="preserve">NOTICE: Amended January 15, 2025. The Step-2 proposal due date has been deferred to March 7, 2025. 
ï»¿The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</si>
  <si>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Ocular Laboratory for Analysis of Biomarkers (OCULAB)</t>
  </si>
  <si>
    <t>HHS-ARPAH</t>
  </si>
  <si>
    <t>Advanced Research Projects Agency for Health</t>
  </si>
  <si>
    <t xml:space="preserve">November 5, 2024: The Advanced Research Projects Agency for Health (ARPA-H) posts this funding opportunity in support of the OCUlar Laboratory for Analysis of Biomarkers (OCULAB) Program. ARPA-H anticipates multiple awards and award types will result from this announcement.
November 4, 2024: The purpose of this amendment is to provide the details of the OCULAB Proposers' Day
October 18, 2024: The Advanced Research Projects Agency for Health (ARPA-H) posts this Special Notice to alert the potential proposer community to the Ocular Laboratory for Analysis of Biomarkers (OCULAB) Program.
ARPA-H will host a Proposers' Day and the event will allow for both in-person and virtual participation. The event is intended to facilitate teaming, foster a greater understanding of the OCULAB Program, and provide information related to the OCULAB Innovative Solutions Opening (ISO) that ARPA-H anticipates posting by the end of October.
After reviewing the attached Special Notice ARPA-H-SN-25-115, potential proposers are encouraged to register and complete a teaming profile at the link provided https://solutions.arpa-h.gov/OCULAB
</t>
  </si>
  <si>
    <t>NIMHD Minority Health and Health Disparities Research Training (MHRT) Program (T37 Clinical Trial Not Allowed)</t>
  </si>
  <si>
    <t>Private institutions of higher education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 See NOFO for further eligibility criteria.Non-domestic (non-U.S.) Entities (Foreign Institutions) are not eligible to apply.Non-domestic (non-U.S.) components of U.S. Organizations are not eligible to apply.</t>
  </si>
  <si>
    <t>The purpose of this Notice of Funding Opportunity (NOFO) is to support research training activities in minority health and health disparities research for individuals from diverse backgrounds, including groups underrepresented in biomedical, behavioral, clinical and social sciences research based at domestic institutions. Research experiences would be at domestic institutions and/or at specified international low and middle income country (LMIC) locations for eligible undergraduate students, graduate students, clinical residents, research fellows, and postdoctoral trainees.</t>
  </si>
  <si>
    <t>NINDS Exploratory Clinical Trials (UG3/UH3 Clinical Trial Required)</t>
  </si>
  <si>
    <t>The purpose of this Funding Opportunity Announcement (FOA) is to encourage grant applications for investigator-initiated exploratory clinical trials to the National Institute of Neurological Disorders and Stroke (NINDS). The trials must address questions within the mission and research interests of the NINDS and may include Phase 1 and 2 studies of drugs and biologics, feasibility studies of devices, and early studies of surgical, behavioral or rehabilitation therapies. All exploratory trials must contribute to the justification for and provide some of the data required to inform a future trial to establish efficacy (such as a Phase 3, Phase 4 or Pivotal trial). This FOA uses the UG3/UH3 mechanism. Only projects that provide satisfactory progress in the UG3 phase may move to the UH3 phase, as outlined below.
For a drug, biologic or device that has not completed a Phase 1/Early Feasibility trial:
The UG3 mechanism will be used to plan and execute the Phase I trial(s). If Phase 1 trials are successful, the UG3 will also include the planning phase of a Phase 2 trial. The UH3 mechanism will then support the execution of the Phase 2 clinical trial. Transition to the UH3 will depend on successfully reaching agreed upon milestones.</t>
  </si>
  <si>
    <t>Microbial-based Cancer Imaging and Therapy - Bugs as Drugs (R21 Clinical Trial Not Allowed)</t>
  </si>
  <si>
    <t>Through this Notice of Funding Opportunity (NOFO), the National Cancer Institute (NCI) solicits grant applications proposing to utilize bacteria, archaebacteria, bacteriophages, or other non-oncolytic viruses and their natural products to study the underlying mechanisms of the complex interactions between microorganisms, tumors, and the immune system, and to explore their clinical potential for cancer imaging, therapeutics or diagnostics. Projects can focus on using microorganisms as anti-tumor agents, as activators of anti-tumor immunity, or as delivery vehicles for treatment, diagnosis, or imaging, complementing or synergizing with existing tools and approaches. This NOFO will support basic mechanistic and preclinical studies in cell culture and animal models. Applicants are encouraged to address both the microbial and tumor aspects of microbial tumor interactions relevant to microbial-based cancer therapy (including therapies for oral cancer), tumor imaging, tumor detection, or diagnosis.
The R21 FOA is intended to encourage exploratory projects that are at an early conceptual stage feasibility study (inception through preliminary development) to demonstrate the core functional capabilities of the proposed approach. The proposed projects may involve considerable risk and should be aimed at producing breakthroughs in microbial-based cancer therapy, imaging, or diagnosis.
This funding opportunity is part of broader NCI-sponsored research on microbial-based cancer therapy.</t>
  </si>
  <si>
    <t>Institute of Education Sciences (IES): National Center for Education Research (NCER): Research Training Programs in The Education Sciences, Assistance Listing Number (ALN) 84.305B</t>
  </si>
  <si>
    <t>County governments 1.  Eligible Applicants:  For the Pathways to the Education Sciences topic, the applicant must either be: 	A minority-serving institution  (MSI) located in the territorial United States that confers bachelor s or master s degrees in academic fields relevant to education; or 	An academic institution located in the territorial United States that confers bachelor s or master s degrees in academic fields relevant to education and that partners with an eligible MSI.  Any member of the partnership may serve as the grantee.An institution may not submit an application to the Pathways Training Program, or be a partner on an application, if it is the grantee or partner on an FY 2021 Pathways Training grant award.For Predoctoral Interdisciplinary Research Training Program in the Education Sciences, the applicant must be an academic institution located in the territorial United States that confers doctoral degrees in academic fields relevant to education.  An institution may not submit an application to the Predoctoral Training Program if it received an FY 2020 Predoctoral Training grant award.For Early Career Development and Mentoring Program for Education Research and Methods Training for Education Researchers, applicants that have the ability and capacity to conduct scientifically valid research are eligible to apply.  Eligible applicants include, but are not limited to, nonprofit and for-profit organizations and public and private agencies and institutions of higher education, such as colleges and universities.</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</si>
  <si>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Through the Research Training Programs in the Education Sciences Grant Program, IES aims to prepare individuals to conduct rigorous and relevant education research that advances knowledge within the field and addresses issues important to education policymakers and practitioners. 
Assistance Listing Number (ALN) 84.305B.</t>
  </si>
  <si>
    <t>Emerging Mathematics in Biology</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</si>
  <si>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</si>
  <si>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 xml:space="preserve">The Emerging Mathematics in Biology (eMB) program seeks to stimulate the development of innovative mathematical theories, techniques, and approaches to investigate challenging questions of great interest to biologists and public health policymakers. It supportstruly integrative research projects in mathematical biology that address challenging and significant biological questions through novel applications of traditional, but nontrivial, mathematical tools and methods or the development of new mathematical theories particularly from foundational mathematics, including the mathematical foundation of Artificial Intelligence/Deep Learning/Machine Learning (AI/DL/ML) enabling explainable AI or mechanistic insight. The program emphasizes the uses of mathematical methodologies to advance our understanding of complex, dynamic, and heterogenous biological systems at all scales (molecular, cellular, organismal, population, ecosystems, evolutionary, etc.).
</t>
  </si>
  <si>
    <t>DISRUPTIVE DC CONVERTERS FOR GRID RESILIENT INFRASTRUCTURE TO DELIVER SUSTAINABLE ENERGY (DC-GRIDS)</t>
  </si>
  <si>
    <t>This is Modification 02 to the NOFO:
â€¢ Clarified the meaning of the Program Policy Factors in Section V.C
This is Modification 01 to the NOFO:
â€¢ Inserted certain deadlines, including deadlines for submitting questions and Full Applications, see Cover Page and Required Documents Checklist.
â€¢ Updated language in Section I.D, I.E and V.2 regarding Category B.
â€¢ Updated guidance on submitting a Summary Slide, see Application Contents and Format.
â€¢ Updated guidance on submitting Business Assurance and Disclosure Forms, see Application Contents and Format.
â€¢ Added information regarding eXCHANGE login using Enhanced Identity Proofing, see Use of ARPA-E eXCHANGE.
â€¢ Added Section VIII.E Technology Protection Plan and VIII.F Material Supply Plan.
NOFO NUMBER: DE-FOA-0003499 - DISRUPTIVE DC CONVERTERS FOR GRID RESILIENT INFRASTRUCTURE TO DELIVER SUSTAINABLE ENERGY 
To obtain a copy of the Notice of Funding Opportunity (NOFO) please go to ARPA-E eXCHANGE at https://arpa-e-foa.energy.gov.  To apply to this NOFO, Applicants must register with and submit application materials through ARPA-E eXCHANGE (https://arpa-e-foa.energy.gov/Registration.aspx).  For detailed guidance on using ARPA-E eXCHANGE, please refer to the ARPA-E eXCHANGE User Guide (https://arpa-e-foa.energy.gov/Manuals.aspx).  ARPA-E will not review or consider application materials submitted through other means. For problems with ARPA-E eXCHANGE, email ExchangeHelp@hq.doe.gov (with NOFO name and number in the subject line). Questions about this NOFO? Check the Frequently Asked Questions available at http://arpa-e.energy.gov/faq.  For questions that have not already been answered, email ARPA-E-CO@hq.doe.gov.  
Agency Overview:
The Advanced Research Projects Agency â€“ Energy (ARPA-E), an organization within the Department of Energy (DOE), is chartered by Congress in the America COMPETES Act of 2007 (P.L. 110-69), as amended by the America COMPETES Reauthorization Act of 2010 (P.L. 111-358), as further amended by the Energy Act of 2020 (P.L. 116-260):
â€œ(A) to enhance the economic and energy security of the United States through the development of energy technologies thatâ€”
(i) reduce imports of energy from foreign sources;
(ii) reduce energy-related emissions, including greenhouse gases;
(iii) improve the energy efficiency of all economic sectors; 
(iv) provide transformative solutions to improve the management, clean-up, and disposal of radioactive waste and spent nuclear fuel; and
(v) improve the resilience, reliability, and security of infrastructure to produce, deliver, and store energy; and
(B) to ensure that the United States maintains a technological lead in developing and deploying advanced energy technologies.â€
ARPA-E issues this Notice of Funding Opportunity (NOFO) under its authorizing statute codified at 42 U.S.C. Â§ 16538. The NOFO and any cooperative agreements or grants made under this NOFO are subject to 2 C.F.R. Part 200 as supplemented by 2 C.F.R. Part 910.
ARPA-E funds research on, and the development of, transformative science and technology solutions to address the energy and environmental missions of the Department. The agency focuses on technologies that can be meaningfully advanced with a modest investment over a defined period of time in order to catalyze the translation from scientific discovery to early-stage technology. For the latest news and information about ARPA-E, its programs and the research projects currently supported, see: http://arpa-e.energy.gov/.
ARPA-E funds transformational research. Existing energy technologies generally progress on established â€œlearning curvesâ€ where refinements to a technology and the economies of scale that accrue as manufacturing and distribution develop drive improvements to the cost/performance metric in a gradual fashion. This continual improvement of a technology is important to its increased commercial deployment and is appropriately the focus of the private sector or the applied technology offices within DOE. In contrast, ARPA-E supports transformative research that has the potential to create fundamentally new learning curves. ARPA-E technology projects typically start with cost/performance estimates well above the level of an incumbent technology. Given the high risk inherent in these projects, many will fail to progress, but some may succeed in generating a new learning curve with a projected cost/performance metric that is significantly better than that of the incumbent technology. ARPA-E will provide support at the highest funding level only for submissions with significant technology risk, aggressive timetables, and careful management and mitigation of the associated risks.
ARPA-E funds technology with the potential to be disruptive in the marketplace. The mere creation of a new learning curve does not ensure market penetration. Rather, the ultimate value of a technology is determined by the marketplace, and impactful technologies ultimately become disruptive â€“ that is, they are widely adopted and displace existing technologies from the marketplace or create entirely new markets. ARPA-E understands that definitive proof of market disruption takes time, particularly for energy technologies. Therefore, ARPA-E funds the development of technologies that, if technically successful, have clear disruptive potential, e.g., by demonstrating capability for manufacturing at competitive cost and deployment at scale. 
 ARPA-E funds applied research and development (R&amp;D). The Office of Management and Budget defines â€œapplied researchâ€ as an â€œoriginal investigation undertaken in order to acquire new knowledgeâ€¦directed primarily towards a specific practical aim or objectiveâ€ and defines â€œexperimental developmentâ€ as â€œcreative and systematic work, drawing on knowledge gained from research and practical experience, which is directed at producing new products or processes or improving existing products or processes.â€
Applicants interested in receiving financial assistance for basic research (defined by the Office of Management and Budget as â€œexperimental or theoretical work undertaken primarily to acquire new knowledge of the underlying foundations of phenomena and observable factsâ€) should contact the DOEâ€™s Office of Science (http://science.energy.gov/). Office of Science national scientific user facilities (http://science.energy.gov/user-facilities/) are open to all researchers, including ARPA-E Applicants and awardees. These facilities provide advanced tools of modern science including accelerators, colliders, supercomputers, light sources and neutron sources, as well as facilities for studying the nanoworld, the environment, and the atmosphere. Projects focused on early-stage R&amp;D for the improvement of technology along defined roadmaps may be more appropriate for support through the DOE applied energy offices including: the Office of Energy Efficiency and Renewable Energy (http://www.eere.energy.gov/), the Office of Fossil Energy and Carbon Management (https://www.energy.gov/fecm/office-fossil-energy-and-carbon-management), the Office of Nuclear Energy (http://www.energy.gov/ne/office-nuclear-energy), and the Office of Electricity (https://www.energy.gov/oe/office-electricity).
ARPA-E encourages submissions stemming from ideas that still require proof-of-concept R&amp;D efforts as well as those for which some proof-of-concept demonstration already exists. Submissions can propose a project with the end deliverable being an extremely creative, but partial solution.
Program Overview:
1.	SUMMARY
The Disruptive dc Converters for Grid Resilient Infrastructure to Deliver Sustainable energy (DC-GRIDS) program will target transformative technologies that enable a multi-terminal high-voltage direct current (MT-HVDC) transmission macrogrid. It will enable multi-directional power routing, flexible interconnections between existing and new alternating current (AC) and direct current (DC) lines, and the easier addition of sustainable energy sources. Furthermore, a MT-HVDC macrogrid would accelerate adoption of offshore power transmission, conversion of high-voltage alternating current (HVAC) corridors to HVDC, and interconnection of the three U.S. electrical grids. This program seeks to enable the rapid expansion of existing grid capacity, while improving resiliency and performance. 
2.	BACKGROUND AND MOTIVATION
HVDC lines transport electrical power more efficiently than HVAC lines over long distances, particularly in underground or subsea applications, and may allow for 3.5 times the capacity of existing HVAC rights-of-way.  However, there are several barriers to wider HVDC adoption, including:
â€¢	A lack of understanding regarding the interaction of HVDC and the surrounding HVAC system; 
â€¢	An absence of domestic supply chains and availability of HVDC equipment;
â€¢	High terminal equipment and installation costs;
â€¢	Insufficient standardization among vendors;
â€¢	Large footprints and volumes (which are a driver of higher costs);  and 
â€¢	A lack of coordinated system-level controls validated with mature modeling and simulation methods. ,  
Despite the noted barriers, there are several HVDC back-to-back converter stations linking the U.S. Eastern, Western, and Texas interconnections that allow small amounts of power to flow between them. There are also a few isolated point-to-point HVDC lines that transmit hydropower-generated electricity from the Pacific Northwest to Southern California and from QuÃ©bec to New England, with several more in development. HVDC is widely used in Europe, Asia, and other parts of the world to efficiently move gigawatts (GW) of electric power subsea or over long distances. 
Offshore wind, solar photovoltaics, and new nuclear power have the largest potential impact in meeting the U.S. goal of net-zero greenhouse gas emissions by 2050.  The U.S. is expected to invest around $65 billion in offshore wind by the end of the decade, with capacity ramping up to around 14 GW by 2030, 30 GW by 2033, and 40 GW by 2035. ,  This will help meet surging electricity demand from data centers, manufacturing, and electrified transportation. Electricity demand from information technology equipment in U.S. data centers alone is expected to increase from 21 GW in 2023 to more than 50 GW by 2030.  The power grid is the backbone of the U.S. electricity sector, and it must adapt to achieve these increased capacity requirements while maintaining reliability and resiliency.
To meet the need for a cost-competitive HVDC electric grid, the DOE established the HVDC COst REduction (CORE) initiative. CORE supports R&amp;D to reduce annual levelized cost for HVDC converter stations by 35% by 2035 to $210 per megawatt (MW) per kilovolt (kV).  DC-GRIDS will develop disruptive DC converter station technology to enable true multi-port MT-HVDC converter stations. This will lead to MT-HVDC stations being cost-comparable with AC substations, increased system resiliency, and reduced deployment times through the use of existing infrastructure. 
Since its inception in 2009, ARPA-E has been a catalyst for breakthroughs in the domain of power electronics, launching the following programs in the past decade: 
â€¢	Green Electricity Network Integration (GENI); 
â€¢	Agile Delivery of Electrical Power Technology (ADEPT); 
â€¢	Creating Innovative and Reliable Circuits Using Inventive Topologies and Semiconductors (CIRCUITS); 
â€¢	Building Reliable Electronics to Achieve Kilovolt Effective Ratings Safely (BREAKERS);  and
â€¢	Unlocking Lasting Transformative Resiliency Advances by Faster Actuation of power Semiconductor Technologies (ULTRAFAST). 
The agency has invested more than $300 million, enabling significant technological progress and subsequent commercialization in power electronics and supporting U.S. technological leadership in advanced power conversion technologies. The goals of this NOFO are complemented by previous and current program activities at ARPA-E. The scope of this program, however, is distinct in that it addresses new challenges related to high-voltage power electronics for HVDC not previously supported by ARPA-E. Some of the distinctive elements are the design of power electronics modular valves that stack up to more than half a million volts with kiloampere-level currents, environmentally friendly approaches to gas/liquid/solid insulation for power electronics, and high frequency galvanic isolation methods. 
To view the NOFO in its entirety, please visit https://arpa-e-foa.energy.gov.</t>
  </si>
  <si>
    <t>Engaging Loved ones in Recovery Processes to Enhance Recovery Capital and Outcomes (R61/R33 Clinical Trial Optional)</t>
  </si>
  <si>
    <t>Outside of research with adolescents, there is a relative dearth of research on how to effectively leverage and support relationships between people with addiction and their loved ones to improve treatment navigation, engagement and recovery outcomes.  As a result, this NOFOs purpose is to address this crucial research gap by supporting studies to improve engagement of support persons. This initiative would support pragmatic trials focused on scalable, sustainable adaptations to existing EBPs and service delivery frameworks that emphasize enhancing engagement of loved ones and support persons, thereby strengthening recovery capital and increasing the likelihood of stable recovery. Approaches of interest include testing adaptations or new interventions that: 1) reduce stigma toward addiction and MOUD among support persons; 2) provide assistance to support persons in navigating care options for their loved one; 3) formally engage support persons in services; 4) leverage support persons as lay interventionists; and 5) enhance well-being and coping skills among support persons.</t>
  </si>
  <si>
    <t>Office of Special Education and Rehabilitative Services (OSERS): Rehabilitation Services Administration (RSA: American Indian Vocational Rehabilitation Services (AIVRS), Assistance Listing Number (ALN): 84.250R</t>
  </si>
  <si>
    <t>Native American tribal organizations (other than Federally recognized tribal governments) 1. Eligible Applicants: Applications may be made only by Indian Tribes (and consortia of those Indian Tribes) located on Federal and State reservations. The definition of ``Indian Tribe'' in section 7(19)(B) of the Rehabilitation Act is ``any Federal or State Indian tribe, band, rancheria, pueblo, colony, or community, including any Alaskan native village or regional village corporation (as defined in _x000D_
or established pursuant to the Alaska Native Claims Settlement Act) and a Tribal organization (as defined in section 4(l) of the Indian Self-Determination and Education Assistance Act (25 U.S.C. 450b(l)).''_x000D_
    ``Reservation'' is defined in 34 CFR 371.6 as ``a Federal or State Indian reservation, public domain Indian allotment, former Indian reservation in Oklahoma, land held by incorporated Native groups, regional corporations and village corporations under the provisions of the Alaska Native Claims Settlement Act; or a defined area of land _x000D_
recognized by a State or the Federal Government where there is a concentration of tribal members and on which the tribal government is providing structured activities and services.''_x000D_
_x000D_
    Under 34 CFR 371.2, the applicant for an AIVRS grant must be--_x000D_
    (1) The governing body of an Indian Tribe, either on behalf of the Indian Tribe or on behalf of a consortium of Indian Tribes; or_x000D_
    (2) A Tribal organization that is a separate legal organization from an Indian Tribe._x000D_
    To receive an AIVRS grant, a Tribal organization that is not a governing body of an Indian Tribe must--_x000D_
    (1) Have as one of its functions the vocational rehabilitation of American Indians with disabilities; and_x000D_
    (2) Have the approval of the Tribe to be served by such _x000D_
organization._x000D_
    If a grant is made to the governing body of an Indian Tribe, either on its own behalf or on behalf of a consortium, or to a Tribal organization to perform services benefiting more than one Indian Tribe, the approval of each such Indian Tribe is a prerequisite to the making of such a grant.</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</si>
  <si>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this program is to provide grants to Indian Tribes to provide vocational rehabilitation (VR)services, including culturally appropriate services, to eligible American Indians with disabilities who reside on or near Federal or State reservations, consistent with such eligible individual's strengths, resources, priorities, concerns, abilities, capabilities, interests, and informed choice, so that such individuals may prepare for, and engage in, high-quality employment that will increase opportunities for economic self-sufficiency. 
Assistance Listing Number (ALN) 84.250R.</t>
  </si>
  <si>
    <t>Environmental System Science (ESS)</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</si>
  <si>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1995._x000D_
_x000D_
Federally affiliated entities must adhere to the eligibility standards below:_x000D_
_x000D_
1. DOE/NNSA National Laboratories_x000D_
_x000D_
DOE/NNSA National Laboratories are neither eligible to submit applications under this NOFO nor to be proposed as subrecipients under another organization s application._x000D_
_x000D_
No funds provided under this NOFO may be used to support any independent research activity at a DOE/NNSA National Laboratory. This prohibition extends to all personnel affiliated with a DOE/NNSA National Laboratory, regardless of their title or position. This prohibition extends to all arrangements, including those characterized as subawards, consortia, contracted work, work-for-others, or strategic partnerships. The only exception is for fee-for-service work provided on identical terms to any customer in accordance with a published schedule of charges._x000D_
_x000D_
2. Non-DOE/NNSA FFRDCs_x000D_
_x000D_
Non-DOE/NNSA FFRDCs are eligible to submit applications under this NOFO and may be proposed as subrecipients under another organization s application. If recommended for funding as a lead applicant, funding will be provided through an interagency agreement to the FFRDC s sponsoring Federal Agency.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NOFO._x000D_
_x000D_
3. Other Federal Agencies_x000D_
_x000D_
Other Federal Agencies are eligible to submit applications under this NOFO and may be proposed as subrecipients under another organization s application. If recommended for funding as a lead applicant, funding will be provided through an interagency agreement. If recommended for funding as a proposed subrecipient, the value of the proposed subaward may be removed from the prime applicant s award and may be provided through an interagency agreement. Additional instructions for providing statutory authorization are found in Section IX of this NOFO.</t>
  </si>
  <si>
    <t>The DOE SC program in Biological and Environmental Research (BER) hereby announces its interest in receiving applications for research in Environmental System Science (ESS). The goal of the ESS program in BER is to advance an integrated, robust, and scale-aware predictive understanding of terrestrial systems and their interdependent microbial, biogeochemical, ecological, hydrological, and physical processes. The ESS program scope advances foundational process knowledge with an emphasis on understudied ecosystems. This NOFO will consider applications that focus on measurements, experiments, field data, modeling, and synthesis to provide improved understanding and representation of ecosystems and watersheds in ways that advance the sophistication and capabilities of models that span from individual processes to Earth-system scales. This NOFO will encompass three Science Research Areas: 1) plant-soil-microbe interactions and their influence on belowground biogeochemical processes; 2) synthesis studies using existing data that address testing of ESS-relevant hypotheses and development of transferable insights into knowledge gaps for U.S. southeast coastal systems; and 3) synthesis studies on contributions and vulnerabilities of Earth system processes in marginal and degraded lands.
The BER ESS program goal is to advance an integrated, robust, and scale-aware predictive understanding of terrestrial systems and their interdependent microbial, biogeochemical, ecological, hydrological, and physical processes. To support this goal, the program uses a systems approach to develop an integrative framework to elucidate the complex processes and controls on the structure, function, feedbacks, and dynamics of terrestrial and watershed systems, that span from molecular to global scales and extend from the bedrock through the soil, rhizosphere, and vegetation to the atmosphere. The ESS program scope advances foundational process knowledge with an emphasis on understudied ecosystems. Supported research emphasizes ecological and hydro-biogeochemical linkages among system components and characterization of processes across interfaces (e.g., terrestrial-aquatic, coastal, urban) to address key knowledge gaps and uncertainties across a range of spatial and temporal scales. Incorporation of scientific findings into process and system models is an important aspect of the ESS strategy, both to improve predictive understanding as well as to enable the identification of new research questions and directions.</t>
  </si>
  <si>
    <t>ROSES 2024: F.5 Future Investigators in NASA Earth and Space Science and Technology</t>
  </si>
  <si>
    <t xml:space="preserve">NOTICE: Amended January 30, 2025. This amendment updates language in Sections 2.1 and 2.6 to conform with Executive Orders posted at https://www.whitehouse.gov/presidential-actions/ on or before January 29, 2025. References to the review criterion in Section 4.1.4 are corrected to match corrections made January 22. New text is in bold and deleted text is struck through. The due date for proposals remains February 26, 2025. 
ï»¿NOTICE: Amended January 22, 2025. This amendment extends the due date for proposals to February 26, 2025. Several other updates have also been made: the review criteria in Sections 5.2.1 and 5.2.3 have been corrected, Section 4.1.6 has been clarified regarding biosketches for any mentor who is not the PI, the High End Computing textbox at the very end of Section 4.2 has been updated, and Section 12.28 "How do I generate a request for HEC Resources" explains changes to account creation and management. The checklist in Section 10 has also been updated. 
ï»¿Proposers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</si>
  <si>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U.S. Ambassadors Fund for Cultural Preservation Grants Program</t>
  </si>
  <si>
    <t>Others (see text field entitled "Additional Information on Eligibility" for clarification) Foreign Institutions of Higher Education, Foreign-Based Non-Governmental Organizations (NGOs), Foreign Public Entities (where permitted), Public International Organizations and Governmental Institutions, U.S. Institutions of Higher Education, U.S. Non-Profit Organizations (IRS section 501(c)(3))</t>
  </si>
  <si>
    <t>The U.S. Ambassadors Fund for Cultural Preservation (AFCP) helps protect historic buildings, archaeological sites, museum collections, and traditional cultural expressions like indigenous languages and crafts around the world. Contact individual U.S. embassies for program availability and application deadlines as they vary from country to country. Refer to the USAFCP 2025 Notice of Funding Opportunity PDF on the Related Documents tab for details, including embassy contact information.Eligible countries:Sub-Saharan Africa: Angola, Benin, Botswana, Burkina Faso, Burundi, Cabo Verde, Cameroon, Central African Republic, Chad, Comoros, Congo (Democratic Republic), Congo (Republic), Cote dâ€™Ivoire, Djibouti, Equatorial Guinea, Eritrea, Eswatini, Ethiopia, Gabon, Gambia, Ghana, Guinea, Guinea-Bissau, Kenya, Lesotho, Liberia, Madagascar, Malawi, Mali, Mauritania, Mauritius, Mozambique, Namibia, Niger, Nigeria, Rwanda, Sao Tome   Principe, Senegal, Seychelles, Sierra Leone, Somalia, South Africa, South Sudan, Sudan, Tanzania, Togo, Uganda, Zambia, Zimbabwe. East Asia   the Pacific: Brunei Darussalam, Burma, Cambodia, Fiji, Indonesia, Kiribati, Laos, Malaysia, Marshall Islands, Micronesia, Mongolia, Nauru, Palau, Papua New Guinea, Philippines, Samoa, Solomon Islands, Thailand, Timor-Leste, Tonga, Tuvalu, Vanuatu, Vietnam.Europe   Eurasia: Albania, Armenia, Azerbaijan, Belarus, Bosnia   Herzegovina, Bulgaria, Georgia, Kosovo, Moldova, Montenegro, North Macedonia, Romania, Russia, Serbia, TÃ¼rkiye, Ukraine.Middle East   North Africa: Algeria, Egypt, Iraq, Jordan, Kuwait, Lebanon, Libya, Morocco, Oman, Syria, Tunisia, Yemen. South   Central Asia: Afghanistan, Bangladesh, Bhutan, India, Kazakhstan, Kyrgyzstan, Maldives, Nepal, Pakistan, Sri Lanka, Tajikistan, Turkmenistan, Uzbekistan.Western Hemisphere: Antigua   Barbuda, Barbados, Belize, Bolivia, Brazil, Colombia, Costa Rica, Cuba, Dominica, Dominican Republic, Ecuador, El Salvador, Grenada, Guatemala, Guyana, Haiti, Honduras, Jamaica, Mexico, Nicaragua, Panama, Paraguay, Peru, Saint Kitts   Nevis, Saint Lucia, Saint Vincent   the Grenadines, Suriname, The Bahamas, Trinidad   Tobago, Uruguay, Venezuela.</t>
  </si>
  <si>
    <t>Combating Antibiotic-Resistant Bacteria Interdisciplinary Research Units (CARBIRUs) (P01 Clinical Trial Not Allowed)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</si>
  <si>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</si>
  <si>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notice of funding opportunity (NOFO) is to support multidisciplinary research programs focused on discovery to early development research to inform new approaches to prevent, diagnose, and treat antibiotic-resistant bacterial infections.</t>
  </si>
  <si>
    <t>Atmospheric System Research (ASR)</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</si>
  <si>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1995._x000D_
_x000D_
Non-domestic institutions may be proposed as team members in a multi-institutional team and may be proposed as subrecipients under another organization s application._x000D_
_x000D_
Federally affiliated entities must adhere to the eligibility standards below:_x000D_
_x000D_
1. DOE/NNSA National Laboratories_x000D_
_x000D_
DOE/NNSA National Laboratories are neither eligible to submit applications under this NOFO nor to be proposed as subrecipients under another organization s application._x000D_
_x000D_
2. Non-DOE/NNSA FFRDCs_x000D_
_x000D_
Non-DOE/NNSA FFRDCs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NOFO._x000D_
_x000D_
3. Other Federal Agencies_x000D_
_x000D_
Other Federal Agencies are eligible to submit applications under this NOFO but are not eligible to be proposed as subrecipients under another organization s application. Instead, they must submit their own application as a team member in a multi-institutional team. If recommended for funding, either as the sole applicant or in a multi-institutional team, funding will be provided through an interagency agreement. Additional instructions for providing statutory authorization are found in Section IX of this NOFO.</t>
  </si>
  <si>
    <t>The DOE SC program in Biological and Environmental Research (BER) hereby announces its interest in receiving applications for Atmospheric System Research (ASR) within BERâ€™s Earth and Environmental Systems Sciences Division (EESSD). ASR supports research on key cloud, aerosol, precipitation, and radiative transfer processes that affect the Earthâ€™s radiative balance and hydrological cycle, especially processes that limit the predictive ability of regional and global models. This NOFO solicits research grant applications for observational, data analysis, and/or modeling studies that use BER-supported Atmospheric Radiation Measurement (ARM) user facility observations to improve understanding and model representation of: 1) Atmospheric processes from ARMâ€™s Coast-Urban-Rural Atmospheric Gradient Experiment (CoURAGE) and 2) High latitude and Southern Ocean atmospheric processes using ARM observations. All research supported by awards under this NOFO is intended to benefit the public through increasing our understanding of the Earth system.</t>
  </si>
  <si>
    <t>Public Diplomacy Grants Program</t>
  </si>
  <si>
    <t>DOS-EUR</t>
  </si>
  <si>
    <t>Bureau of European and Eurasian Affairs</t>
  </si>
  <si>
    <t>Public and State controlled institutions of higher education For-profit or commercial entities and not-for-profit companies (such as techno parks) are not eligible to apply. _x000D_
_x000D_
All organizations must have a Unique Entity Identifier (UEI) issued via SAM.gov as well as a valid registration on SAM.gov. _x000D_
_x000D_
Individuals are not required to have a UEI or be registered in SAM.gov._x000D_
_x000D_
Applicants are only allowed to submit one proposal per organization. If more than one proposal is submitted from an applicant, all proposals from that applicant will be considered ineligible for funding._x000D_
_x000D_
Organizations and individuals with an existing, open grant with U.S. Mission Turkiye are ineligible to apply for additional grants until the existing grant is closed.</t>
  </si>
  <si>
    <t xml:space="preserve">The U.S. Mission TÃ¼rkiye invites proposals for projects that strengthen ties between the United States and TÃ¼rkiye through cultural and educational programming that highlights shared values and promotes bilateral cooperation. All proposals must include a U.S. cultural element, or connection with American expert/s, organization/s, or institution/s in a specific field that will promote increased understanding of U.S. policy and perspectives, unless otherwise stated below. In all priority program areas, innovative projects that use emerging technology and/or strengthen or expand existing networks across sectors are strongly encouraged.
Priority Program Areas:
â€¢ Shared Security: Support and advance cooperation between the United States and TÃ¼rkiye through efforts to promote cooperation in NATO. Proposals must include public engagement, such as training, workshops, or other methods to increase dialogue around shared security issues. Proposals advancing the role of women in peace and security are encouraged. 
â€¢ Economic Prosperity and Promoting Innovation: Increase cooperation between U.S. and Turkish scientists, entrepreneurs, and researchers, through public engagements such as information-sharing gatherings, trainings, competitions, or workshops with students and other audiences. Innovative projects could use STEAM, economic prosperity programs, and emerging technologies to counter gender-based violence.
â€¢ Democratic Values: Reinforce respect for international human rights norms within TÃ¼rkiye. This may include promotion of democratic values, the rule of law, freedom of expression, and freedom of the press. 
â€¢ Turkish and American Cultural Ties: Build cultural, artistic, sports, and social ties between Turkish and American people. Projects which seek to preserve important tangible and intangible cultural heritage sites in TÃ¼rkiye are included in this category. </t>
  </si>
  <si>
    <t>Sea Grant Programs Only - FY2025 Establishing and Supporting Partnerships with Minority Serving Institutions (MSIs) in Aquaculture: Regional Collaboratives</t>
  </si>
  <si>
    <t>Others (see text field entitled "Additional Information on Eligibility" for clarification) The following entities are eligible to submit to this opportunity: Sea Grant College Programs, Sea Grant Institutional Programs and Sea Grant Coherent Area Programs. For the remainder of this document, these entities are collectively referred to as  Sea Grant Programs . A Sea Grant Program may submit or be a part of more than one application. Applications involving multiple Sea Grant programs within a given region are strongly preferred.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match._x000D_
_x000D_
Programs are required to partner with MSIs as part of each Regional Collaborative. While it is the expectation of this competition that Sea Grant programs will partner with MSIs in their respective regions. It should be noted that partnerships with MSIs need not be solidified by the NOFO deadline. It is envisioned that the Sea Grant program-led Collaboratives will continue to establish relationships/partnerships with MSIs throughout the award._x000D_
_x000D_
It should be noted that, in addition to collaborations currently existing between Sea Grant programs and MSIs, Collaboratives should also strive to engage MSIs that have aquaculture programs or are interested in aquaculture, but not have collaborated with a Sea Grant program. _x000D_
_x000D_
Programs are encouraged to partner with other Sea Grant Programs and/or other entities such as individuals, State and Tribal Agencies/Organizations, NGOs, aquaculture industry members and associations, universities, and colleges, including community colleges._x000D_
_x000D_
To be eligible to apply or receive an award, applicants must complete and maintain three registrations; SAM.gov, Grants.gov, and eRA Commons. For each, the complete registration process can take 4 to 6 weeks, so applicants should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 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
  </si>
  <si>
    <t xml:space="preserve">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Subject to the availability of funding, Sea Grant anticipates that approximately $4,000,000 will be available for research projects and programs to create up to four Regional Collaboratives (one per region) focused on enhancing engagement of Minority Serving Institutions (MSIs) in aquaculture, with up to $1,000,000 available for each. MSIs are defined as institutions of higher education that serve minority populations. For a list of institutions that are considered MSIs, please refer to the following link provided by NASA's MSI Exchange.  
The four regions in which Collaboratives are sought to be established (including states and territories) are: 
â€¢ West Coast/Alaska/Pacific (CA, OR, WA, AK, HI, GU, and other Pacific territories) 
â€¢ Southeast/GOM/Caribbean (TX, LA, MS, AL, FL, PR, US Virgin Islands, GA, SC, NC) 
â€¢ Northeast/mid-Atlantic (VA, MD, DE, NJ, NY, CT, RI, MA, NH, ME) 
â€¢ Great Lakes (NY, VT, PA, OH, IN, IL, MI, WI, MN) 
Successful proposals will address topical needs (described below) and integrate research and extension. Proposals are sought that will support collaborative, multi-SG Program efforts to enhance engagement and collaboration of Sea Grant programs and Minority Serving Institutions within each region in direct support of aquaculture activities of MSIs. While a regional approach is the required mechanism for achieving these goals, it is expected that the Regional Collaboratives will interact with one another to support shared National level interests. Proposals will preferably include participation and involvement of Sea Grant extension personnel and aquaculture community stakeholders. These investments are consistent with Sea Grantâ€™s focus area of Sustainable Fisheries and Aquaculture (SFA) and the Sea Grant Networkâ€™s 10-year Aquaculture Vision, both which support NOAA and Department of Commerce aquaculture goals.  
The following entities are eligible to submit to this opportunity: Sea Grant College Programs, Sea Grant Institutional Programs and Sea Grant Coherent Area Programs. For the remainder of this document, these entities are collectively referred to as â€œSea Grant Programsâ€. A Sea Grant Program may submit or be a part of more than one application. Applications involving multiple Sea Grant programs within a given region are strongly preferred. Programs are to partner with MSIs as part of each Regional Collaborative. While it is the expectation of this competition that Sea Grant programs will partner with MSIs in their respective regions, it should be noted that all partnerships with MSIs need not be solidified by the NOFO deadline. It is envisioned that the Sea Grant program-led Collaboratives will continue to establish relationships/partnerships with MSIs throughout the award. 
It should be noted that, in addition to collaborations currently existing between Sea Grant programs and MSIs, Collaboratives should also strive to engage MSIs that have aquaculture programs or are interested in aquaculture, but have not collaborated with a Sea Grant program.  
Programs are encouraged to partner with other Sea Grant Programs as well as entities such as individuals, State and Tribal Agencies/Organizations, NGOs, aquaculture industry members and associations,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All projects take place within the United States or territories or their respective waterways. 
Applicants complete and maintain three registrations to be eligible to apply for or receive an award. These registrations include eRA Commons. All registrations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first obtain a Unique Entity Identifier (UEI) from SAM.gov, if needed (refer to Section IV. Applications and Submission Information, Section C). Organizations can register with eRA Commons in tandem with completing their full SAM and Grants.gov registrations; however, all registrations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NOAA-OAR-SG-2025-29019. 
</t>
  </si>
  <si>
    <t>Targeting Inflammasomes in HIV and Substance Use (R21 Clinical Trial Not Allowed)</t>
  </si>
  <si>
    <t>Nonprofits having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</si>
  <si>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scientific objective of this Notice of Funding Opportunity is to encourage research to delineate the role of inflammasomes in the neuropathology produced by acute or chronic drug exposure and HIV infection. Understanding the involvement of inflammasomes in virus and drug-induced immune activation may help identify molecular markers and CNS immune cells associated with HIV-1 infection or disease progression among substance abuse populations, as well as identify novel therapies to target inflammasome activation or suppression to treat neuroinflammation and immune dysregulation aroused in these processes.</t>
  </si>
  <si>
    <t>Targeting Inflammasomes in HIV and Substance Use (R01 Clinical Trial Not Allowed)</t>
  </si>
  <si>
    <t>Resilience Centers</t>
  </si>
  <si>
    <t>Others (see text field entitled "Additional Information on Eligibility" for clarification) To advance programmatic objectives, in accordance with 2 CFR 910.126, Competition, eligibility for award is restricted to domestic applicants except nonprofit organizations described in section 501(c)(4) of the Internal Revenue Code of 1986 that engaged in lobbying activities after December 31, 1995, that must be either:1.	Classified as an MSI  and NOT listed as an R1 Research Institution,  or2.	An emerging research institution, defined as an institution of higher education with an established undergraduate or graduate program that has less than $50,000,000 in annual Federal research expenditures  and NOT listed as an R1 Research Institution.2Using the current data available, a list of eligible institutions is provided at https://science.osti.gov/grants/Applicant-and-Awardee-Resources/Institution-Designations. An institution that meets these criteria either on the date this NOFO is published, or the date pre-applications are due will be eligible. A goal of this NOFO is to increase participation of underrepresented groups in BER s research portfolio. BER is fully committed to advancing a diverse, equitable, and inclusive research community which is key to providing the scientific and technical expertise for U.S. scientific leadership. This program is intended to build research capacity in climate resilience, leverage ongoing DOE climate science and capabilities at national laboratories and universities, and build two-way engagement between DOE funded research and community stakeholders.</t>
  </si>
  <si>
    <t xml:space="preserve">The DOE SC program in Biological and Environmental Research (BER) hereby announces its interest in applications from the scientific community for Resilience Centers (RCs) that will improve the availability and utility of BER research, data, models, and capabilities to address the resiliency of natural and human systems to meteorological and/or environmental pressures, including extreme events, particularly by underrepresented or vulnerable communities. BERâ€™s mission is to support transformative science and scientific user facilities to achieve a predictive understanding of complex biological, Earth, and environmental systems for energy and infrastructure security, independence, and prosperity. BER research further advances the fundamental understanding of dynamic, physical, and biogeochemical processes required to systematically develop Earth system models that integrate across the atmosphere, land masses, oceans, sea ice, subsurface, and human systems. These science-based predictive tools and methods are critically needed to inform policies and plans for strengthening the security and resilience of critical infrastructure and natural resources. </t>
  </si>
  <si>
    <t>Ethiopia Rapid Response Mechanism (RRM)</t>
  </si>
  <si>
    <t>Unrestricted (i.e., open to any type of entity above), subject to any clarification in text field entitled "Additional Information on Eligibility" Refer to SECTION B: ELIGIBILITY in the RFA for more information.</t>
  </si>
  <si>
    <t>November 25, 2024
Original Closing date: Closing Date for Full Applications is December 19, 2024, 16:59 p.m. EST
Current Closing Date: Closing Date for Full Applications is December 19, 2024, 16:59 p.m. EST
Description: 
Please note that the USAID's Bureau for Humanitarian Assistance (BHA) Final Amendment 1for Ethiopia and the Question   Answer documents have been published as of Monday, November 25, 2024. The amended NOFO (changes highlighted in yellow) and Q A Document address the pertinent questions/comments received by November 8, 2024, which was the closing date for questions 
Full Applications should be submitted to grants.gov via the instructions under Sections D and E no later than December 19, 2024, 16:59 p.m. EST.
October 28, 2024
USAID/BHA is soliciting applications to support the overall goal of this Ethiopia RRM activity, which is to â€œrapidly respond to urgent humanitarian needs across Ethiopia for vulnerable and shock-affected populations to preserve human dignity and save lives.â€ 
BHA intends to contribute to this goal through the following purposes:
â— Establish an effective Rapid Response Mechanism;
â— Meet urgent humanitarian needs through a proven community engagement approach;
â— Improve adaptive and absorptive capacities of communities.
Questions regarding this RFA should be submitted in writing to: BHA.RFA.720BHA25RFA00001@usaid.gov November 8, 2024, 16:59 p.m. Eastern Standard Time (EST)</t>
  </si>
  <si>
    <t>Human Virome Program: Developing novel and innovative tools to interrogate and annotate the human virome (U01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</si>
  <si>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</si>
  <si>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The Common Fund Human Virome Program aims to extensively characterize the human virome and create tools, models, and methods that will enable an in-depth study of its variation in relation to host factors and its influence on health and disease.  The purpose of this NOFO is to address the technological challenges that are currently hindering robust interrogation of the constituents and functionality of the human virome. Despite major advances in sequencing technology and computational analysis of large sequence data sets, challenges remain in examining viruses. This NOFO solicits applications to develop innovative and novel tools, models, and methods to overcome the major challenges in identifying and characterizing viruses, as well as the development of computational and bioinformatics tools to enhance the analysis of the human virome.  
This NOFO requires a Plan for Enhancing Diverse Perspectives (PEDP), which will be assessed as part of the scientific and technical peer review evaluation.</t>
  </si>
  <si>
    <t>Rural Business Development Grant Program</t>
  </si>
  <si>
    <t>Private institutions of higher education Rural public entities including, but not limited to: Towns, Communities, State agencies, Authorities, Nonprofit corporations, Institutions of higher education, Federally-recognized tribes, Rural cooperative (if organized as a private nonprofit corporation).This program is only open to a Public Body/Government Entity, Federally Recognized Indian Tribe or a Nonprofit entity serving rural areas.  For profit entities, individuals and individual businesses are not eligible to receive grants under this program.</t>
  </si>
  <si>
    <t>The purpose of the program is to promote economic development and job creation projects through the awarding of grant funds to eligible entities.Applications will compete in two separate categories, business opportunity grants and business enterprise grants, for use in funding variousbusiness and community projects that serve rural areas.</t>
  </si>
  <si>
    <t>Inspiring Generations of New Innovators to Impact Technologies in Energy (IGNIITE) 2025</t>
  </si>
  <si>
    <t>For profit organizations other than small businesses For-profit entities (which includes large businesses and small businesses), educational institutions, DOE/NNSA FFRDCs/DOE Labs, and nonprofits that are incorporated in the United States, including U.S. territories, are eligible to apply, and these entities must apply as a Standalone Applicant only (i.e., they cannot apply as a project team with another entity or a subrecipient). 
Please see NOFO Section II.A for information on Eligible Principal Investigators.</t>
  </si>
  <si>
    <t>This is Modification 02 to the NOFO:
â€¢ Clarified the meaning of the Program Policy Factors in Section V.C.
DE-FOA-0003477 - Inspiring Generations of New Innovators to Impact Technologies in Energy (IGNIITE) 2025 
To obtain a copy of the Notice of Funding Opportunity (NOFO) please go to ARPA-E eXCHANGE at https://arpa-e-foa.energy.gov.  To apply to this NOFO, Applicants must register with and submit application materials through ARPA-E eXCHANGE (https://arpa-e-foa.energy.gov/Registration.aspx).  For detailed guidance on using ARPA-E eXCHANGE, please refer to the ARPA-E eXCHANGE User Guide (https://arpa-e-foa.energy.gov/Manuals.aspx).  ARPA-E will not review or consider application materials submitted through other means. For problems with ARPA-E eXCHANGE, email ExchangeHelp@hq.doe.gov (with NOFO name and number in the subject line).
Questions about this NOFO? Check the Frequently Asked Questions available at http://arpa-e.energy.gov/faq.  For questions that have not already been answered, email ARPA-E-CO@hq.doe.gov.  
AGENCY OVERVIEW 
The Advanced Research Projects Agency â€“ Energy (ARPA-E), an organization within the Department of Energy (DOE), is chartered by Congress in the America COMPETES Act of 2007 (P.L. 110-69), as amended by the America COMPETES Reauthorization Act of 2010 (P.L. 111-358), as further amended by the Energy Act of 2020 (P.L. 116-260):
â€œ(A) to enhance the economic and energy security of the United States through the development of energy technologies thatâ€”
(i) reduce imports of energy from foreign sources;
(ii) reduce energy-related emissions, including greenhouse gases;
(iii) improve the energy efficiency of all economic sectors; 
(iv) provide transformative solutions to improve the management, clean-up, and disposal of radioactive waste and spent nuclear fuel; and
(v) improve the resilience, reliability, and security of infrastructure to produce, deliver, and store energy; and
(B) to ensure that the United States maintains a technological lead in developing and deploying advanced energy technologies.â€
ARPA-E issues this Notice of Funding Opportunity (NOFO) under its authorizing statute codified at 42 U.S.C. Â§ 16538. The NOFO and any cooperative agreements or grants made under this NOFO are subject to 2 C.F.R. Part 200 as supplemented by 2 C.F.R. Part 910.
ARPA-E funds research on, and the development of, transformative science and technology solutions to address the energy and environmental missions of the Department. The agency focuses on technologies that can be meaningfully advanced with a modest investment over a defined period of time in order to catalyze the translation from scientific discovery to early-stage technology. For the latest news and information about ARPA-E, its programs and the research projects currently supported, see: http://arpa-e.energy.gov/.
ARPA-E funds transformational research. Existing energy technologies generally progress on established â€œlearning curvesâ€ where refinements to a technology and the economies of scale that accrue as manufacturing and distribution develop drive improvements to the cost/performance metric in a gradual fashion. This continual improvement of a technology is important to its increased commercial deployment and is appropriately the focus of the private sector or the applied technology offices within DOE. In contrast, ARPA-E supports transformative research that has the potential to create fundamentally new learning curves. ARPA-E technology projects typically start with cost/performance estimates well above the level of an incumbent technology. Given the high risk inherent in these projects, many will fail to progress, but some may succeed in generating a new learning curve with a projected cost/performance metric that is significantly better than that of the incumbent technology. ARPA-E will provide support at the highest funding level only for submissions with significant technology risk, aggressive timetables, and careful management and mitigation of the associated risks.
ARPA-E funds technology with the potential to be disruptive in the marketplace. The mere creation of a new learning curve does not ensure market penetration. Rather, the ultimate value of a technology is determined by the marketplace, and impactful technologies ultimately become disruptive â€“ that is, they are widely adopted and displace existing technologies from the marketplace or create entirely new markets. ARPA-E understands that definitive proof of market disruption takes time, particularly for energy technologies. Therefore, ARPA-E funds the development of technologies that, if technically successful, have clear disruptive potential, e.g., by demonstrating capability for manufacturing at competitive cost and deployment at scale. 
ARPA-E funds applied research and development (R&amp;D). The Office of Management and Budget defines â€œapplied researchâ€ as an â€œoriginal investigation undertaken in order to acquire new knowledgeâ€¦directed primarily towards a specific practical aim or objectiveâ€ and defines â€œexperimental developmentâ€ as â€œcreative and systematic work, drawing on knowledge gained from research and practical experience, which is directed at producing new products or processes or improving existing products or processes.â€  Applicants interested in receiving financial assistance for basic research (defined by the Office of Management and Budget as â€œexperimental or theoretical work undertaken primarily to acquire new knowledge of the underlying foundations of phenomena and observable factsâ€)1 should contact the DOEâ€™s Office of Science (http://science.energy.gov/). Office of Science national scientific user facilities (http://science.energy.gov/user-facilities/) are open to all researchers, including ARPA-E Applicants and awardees. These facilities provide advanced tools of modern science including accelerators, colliders, supercomputers, light sources and neutron sources, as well as facilities for studying the nanoworld, the environment, and the atmosphere. Projects focused on early-stage R&amp;D for the improvement of technology along defined roadmaps may be more appropriate for support through the DOE applied energy offices including: the Office of Energy Efficiency and Renewable Energy (http://www.eere.energy.gov/), the Office of Fossil Energy and Carbon Management (https://www.energy.gov/fecm/office-fossil-energy-and-carbon-management), the Office of Nuclear Energy (http://www.energy.gov/ne/office-nuclear-energy), and the Office of Electricity (https://www.energy.gov/oe/office-electricity).
ARPA-E encourages submissions stemming from ideas that still require proof-of-concept R&amp;D efforts as well as those for which some proof-of-concept demonstration already exists. Submissions can propose a project with the end deliverable being an extremely creative, but partial solution.
PROGRAM OVERVIEW 
The Inspiring Generations of New Innovators to Impact Technologies in Energy (IGNIITE) 2025 program is designed to support a new cohort of early-career innovators to develop the most disruptive and unconventional ideas into transformative new technologies across the full spectrum of energy applications. This announcement is purposefully broad in technical scope, but eligibility is limited to early-career researchers as defined in Section II.A. In addition to research efforts, awardees will engage with ARPA-E and fellow awardees through dedicated IGNIITE events, meetings, and mentorship activities. 
Submissions to this solicitation must propose transformational R&amp;D that has the potential for high impact. If successful, a project could create a new class or new trajectory for an energy technology, with the potential to substantially contribute to ARPA-Eâ€™s statutory goals (see Section I.A). 
Awards under this program may take the form of exploratory research that provides the agency with information useful for the subsequent development of focused technology programs. Alternatively, awards may support proof-of-concept research for a particular new technology in an area not currently supported by the agency.
To view the NOFO in its entirety, please visit https://arpa-e-foa.energy.gov.</t>
  </si>
  <si>
    <t>Ending the Epidemic: New Models of Integrated HIV/AIDS, Addiction, and Primary Care Services (R34 Clinical Trial Optional)</t>
  </si>
  <si>
    <t>The purpose of this NOFO is to support the testing of enhanced models of care that optimally integrate HIV, addiction, and primary care services.</t>
  </si>
  <si>
    <t>Ending the Epidemic: New Models of Integrated HIV/AIDS, Addiction, and Primary Care Services (R01 Clinical Trial required)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</si>
  <si>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</si>
  <si>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ROSES 2024: D.21 U.S. Contributions to Ariel Preparatory Science</t>
  </si>
  <si>
    <t xml:space="preserve">NOTICE: Amended January 16, 2025. The proposal due date for this program has been deferred to February 20, 2025. 
ï»¿PLEASE NOTE: this program has MANDATORY Notices of Intent, which are due via NSPIRES by December 12,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</si>
  <si>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FY25 Minerva Research Initiative University Research Program</t>
  </si>
  <si>
    <t>Others (see text field entitled "Additional Information on Eligibility" for clarification) All responsible sources from academia, including DoD institutions of higher education and foreign universities, may submit applications under this NFO. Historically Black Colleges and Universities (HBCUs), Minority Institutions (MIs), and Tribal Colleges and Universities (TCUs) are encouraged to apply. No portion of this NFO, however, will be set aside for HBCU, MI, or TCU participation. Teams are encouraged and may submit proposals applications in any and all areas. Non-profit institutions and commercial entities may be included on a university-led team as subawardees only, receiving funding for their efforts accordingly. Federally Funded Research   Development Centers (FFRDCs), including Department of Energy National Laboratories, are not eligible to receive awards under this NFO. However, teaming arrangements between FFRDCs and eligible principal applicants are allowed provided they are permitted under the sponsoring agreement between the Government and the specific FFRDC.</t>
  </si>
  <si>
    <t>Short Description of Funding Opportunity (See the Related Documents tab for complete funding opportunity information)Minervaâ€™s University Research program aims to support innovative basic research projects that contribute to the advancement of social science and provides new methods and understandings on social and behavioral questions of security and defense-related interest.BackgroundMinerva aims to improve DoDâ€™s basic understanding of the social, cultural, behavioral, and political forces that shape regions of the world of strategic importance to the U.S. The research program seeks to:Leverage and focus the resources of the Nation's top universities;Define and develop foundational knowledge about sources of present and future conflict with an eye toward better understanding of the political trajectories of key regions of the world; andImprove the ability of DoD to develop cutting-edge social science research and foreign area and interdisciplinary studies that is developed and vetted by the best scholars in these fields.Minerva brings together universities, research institutions, and individual scholars and supports interdisciplinary and cross-institutional projects addressing specific topic areas determined by the Office of the Secretary of Defense.Program Description/ObjectiveThe Minerva Research Initiative (Minerva) emphasizes questions of strategic importance to U.S. national security policy. It seeks to increase the Departmentâ€™s intellectual capital in the social sciences and improve its ability to address future challenges and build bridges between the Department and the social science community. Minerva brings together universities and other research institutions around the world and supports multidisciplinary and cross-institutional projects addressing specific interest areas determined by the Department of Defense. The Minerva program aims to promote research in specific areas of social science and to promote a candid and constructive relationship between DoD and the social science academic community. The Minerva Research Initiative competition is for research related to six (6) topics listed below. Innovative white papers and applications related to these research areas are highly encouraged. Detailed descriptions of the interest areasâ€”which are intended to provide a frame of reference and are not meant to be restrictiveâ€”can be found in Appendix B: Minerva Research Topics of Interest.Topic 1: Societal Cohesion and ConflictTopic 2: Advancing Influence Measurement(s)Topic 3: Arctic at the Polar CrossroadsTopic 4: Cultural Resilience, Climate, and Human Security in OceaniaTopic 5: Social Impact of Technological ChangeTopic 6: Deterrence and Competition across Military and Civilian SpheresNB: Each proposal should be submitted to only one topic area, even if there is overlap with another topic area.Proposals will be considered both for single-investigator awards as well as larger teams. A team of university investigators may be warranted because the necessary expertise in addressing the multiple facets of the interest areas may reside in different universities, or in different departments of the same university. The research questions addressed should extend across a broad range of linked issues where there is clear potential synergy among the contributions of the distinct disciplines represented on the team. Team proposals must name only one Principal Investigator as the responsible technical point of contact. Similarly, one institution will be the primary recipient for the purpose of award execution. The relationship among participating institutions and their respective roles, as well as the apportionment of funds including sub-awards, if any, must be described in both the proposal text and the budget. As well, the basic research contribution of the project must be clearly described in the proposal text.The Minerva Research Initiative is a multi-service effort. Ultimately, however, funding decisions will be made by OSD personnel, with technical inputs from the Services.See the Related Documents tab for complete funding opportunity information.</t>
  </si>
  <si>
    <t>Epidemiologic Research on Emerging Risk Factors and Liver Cancer Susceptibility (R01 Clinical Trial Not Allowed)</t>
  </si>
  <si>
    <t>Nonprofits having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</si>
  <si>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Funding Opportunity Announcement (FOA) is to promote epidemiologic research investigating novel and innovative hypotheses on emerging risk factors (biological, environmental, and social) and their interplay with established risk factors (e.g., viral hepatitis) associated with the development of liver cancer (hepatocellular carcinoma and other histological subtypes) in the United States.</t>
  </si>
  <si>
    <t>NCI National Clinical Trials Network - Network Lead Academic Participating Sites (UG1 Clinical Trial Not Allowed)</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</si>
  <si>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</si>
  <si>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Through this Notice of Funding Opportunity (NOFO), the National Cancer Institute (NCI), solicits applications from institutions/organizations that propose to maintain or establish Network Lead Academic Participating Sites (LAPS) for the NCI National Clinical Trials Network (NCTN). The NCTN Network LAPS will provide scientific leadership by helping to develop and conduct clinical trials in association with one or more adult Network Groups and will contribute substantial accrual to clinical trials conducted across the entire NCTN.</t>
  </si>
  <si>
    <t>Epidemiologic Research on Emerging Risk Factors and Liver Cancer Susceptibility (R21 Clinical Trial Not Allowed)</t>
  </si>
  <si>
    <t>Single Source: NCI National Clinical Trials Network - Network Radiotherapy and Imaging Core Services Center (U24 Clinical Trial Not Allowed)</t>
  </si>
  <si>
    <t>Independent school districts Other Eligible Applicants include the following:
 Eligible Agencies of the Federal Government; Faith-based or Community-based Organizations; Indian/Native American Tribal Governments (Other than Federally Recognized); Regional Organizations; U.S. Territory or Possession; Non-domestic (non-U.S.) Entities (Foreign Organizations) are not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</si>
  <si>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to maintain a Network Radiotherapy and Imaging Core Services Center for the NCI National Clinical Trials Network (NCTN) that provides scientific and technical expertise for incorporating integrated quality assurance and image data management for applicable NCTN clinical trials that involve interventions with radiotherapy and/or imaging modalities. In addition, the Center will have the capacity to provide similar services for other approved NCI-supported clinical trials network programs (e.g., the NCI/DCTD early phase clinical trial network program and the NCI/DCP NCI Community Oncology Research Program).</t>
  </si>
  <si>
    <t>NCI National Clinical Trials Network - Network Group Integrated Translational Science Centers (UG1 Clinical Trial Not Allowed)</t>
  </si>
  <si>
    <t>Private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</si>
  <si>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from institutions/organizations that propose to maintain or establish Network Group Integrated Translational Science Centers for the NCI National Clinical Trials Network (NCTN). The NCTN Network Group Integrated Translational Science Centers will provide support for leadership and expertise to facilitate incorporating translational science into Network Group clinical trials, including the conduct of pilot projects to collect preliminary translational data (but not the conduct of a clinical trial as defined by NIH).</t>
  </si>
  <si>
    <t>Single Source: NCI National Clinical Trials Network - Canadian Collaborating Clinical Trials Network (U10 Clinical Trial Required)</t>
  </si>
  <si>
    <t>Others (see text field entitled "Additional Information on Eligibility" for clarification) Other Eligible Applicants include the following:
 Eligible Agencies of the Federal Government; Faith-based or Community-based Organizations; Regional Organizations; Non-domestic (non-U.S.) Entities (Foreign Organizations) are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</si>
  <si>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from institutions/organizations that propose to maintain a Canadian Collaborating Clinical Trials Network for the NCI National Clinical Trials Network (NCTN). The NCTN Canadian Collaborating Clinical Trials Network will be a full partner with the U.S. Network in the conduct of large-scale, multi-site clinical trials and help provide regulatory expertise/oversight for the conduct of NCTN trials in Canada.</t>
  </si>
  <si>
    <t>Limited Competition: NCI National Clinical Trials Network - Network Group Operations Centers (U10 Clinical Trial Required)</t>
  </si>
  <si>
    <t>Public housing authorities/Indian housing authorities Other Eligible Applicants include the following:
 Faith-based or Community-based Organizations; Indian/Native American Tribal Governments (Other than Federally Recognized); Regional Organizations; U.S. Territory or Possession; Non-domestic (non-U.S.) Entities (Foreign Organization) are not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</si>
  <si>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from institutions/organizations that propose to maintain a Network Group Operations Center for the NCI National Clinical Trials Network (NCTN). The NCTN Network Group Operations Centers will provide scientific leadership for developing and implementing multi-disciplinary, multi-institutional trials in a range of cancer types and special populations with specific scientific strategy and goals.</t>
  </si>
  <si>
    <t>Limited Competition: NCI National Clinical Trials Network - Network Group Statistics and Data Management Centers (U10 Clinical Trial Required)</t>
  </si>
  <si>
    <t>Public housing authorities/Indian housing authorities Other Eligible Applicants include the following:
 Eligible Agencies of the Federal Government; Faith-based or Community-based Organizations; Regional Organizations; U.S. Territory or Possession; Non-domestic (non-U.S.) Entities (Foreign Organization) are not eligible to apply.
Non-domestic (non-U.S.) components of U.S. Organizations are not eligible to apply.</t>
  </si>
  <si>
    <t>Through this Notice of Funding Opportunity (NOFO), the National Cancer Institute (NCI), solicits applications from institutions/organizations that propose to maintain Network Group Statistics and Data Management Centers (SDMCs) for the NCI National Clinical Trials Network (NCTN). The NCTN Network SDMCs will provide statistical expertise for effective scientific design, conduct, and data management of clinical trials led by the associated NCTN Network Group Operations Center.</t>
  </si>
  <si>
    <t>National Bycatch Reduction Engineering Program (BREP) - FY2025</t>
  </si>
  <si>
    <t>Others (see text field entitled "Additional Information on Eligibility" for clarification) Eligible applicants are individuals, institutions of higher education, other nonprofits, for-profit organizations, foreign public entities or foreign organizations, and state, local, U.S.territorial, Alaska Native, and Indian tribal governments. Federal agencies or instrumentalities are not eligible to receive Federal assistance under this notice.</t>
  </si>
  <si>
    <t>The mission of the National Bycatch Reduction Engineering Program (BREP) is to support the development of technological solutions and changes in fishing practices designed to minimize bycatch of fish and protected species (including Endangered Species Act-listed fish, marine mammals, seabirds, and sea turtles) and to reduce impacts to invertebrates (including sponges, deep-sea corals, and shallow (tropical) corals.) In addition, BREP may support projects that pursue ways to minimize mortality and injury of bycaught species (including post-release injury and mortality). Projects should produce outcomes that can directly influence management needs of federally managed living marine resources.</t>
  </si>
  <si>
    <t>Department of Army Energetics Basic Research Center (EBRC) Fiscal Year 2025</t>
  </si>
  <si>
    <t>DOD-AMC</t>
  </si>
  <si>
    <t>Dept of the Army -- Materiel Command</t>
  </si>
  <si>
    <t>Others (see text field entitled "Additional Information on Eligibility" for clarification) Eligible applicants under this BAA include institutions of higher education, nonprofit organizations, state and local governments, and for-profit organizations (i.e. large and small businesses) in the United States or its territories. Whitepapers and proposals will be evaluated only if they are for fundamental scientific study and experimentation directed toward advancing the scientific state of the art or increasing basic knowledge and understanding. Whitepapers and proposals focused on specific devices or components are beyond the scope of this BAA. More than one whitepaper and/or proposal is allowable from any single institution or organization.Pursuant to the policy of FAR 35.017 and supplements, selected Federally Funded Research and Development Centers (FFRDC) may propose under this BAA as allowed by their sponsoring agency and in accordance with their sponsoring agency policy.</t>
  </si>
  <si>
    <t>The Energetics Basic Research Center (EBRC) is a basic research program initiated by the Combat Capabilities Development Command/Army Research Laboratory/Army Research Office. It focuses on areas of strategic importance to U.S. national security. It seeks to increase the Army's intellectual capital in energetic materials (EM) and improve its ability to address future challenges. The EBRC brings together universities, research institutions, companies, and individual scholars and supports multidisciplinary and cross-institutional projects addressing specific topic areas determined by the Department of the Army (DA). The EBRC aims to promote research in specific areas of EMs and to promote a candid and constructive relationship between DA and the energetics research community. The future Army is projected to be unable to achieve dominance in range and lethality due to inadequate energetic formulations and form factor limitations associated with current weapon systems. Basic research generates new knowledge that may be exploited to develop and deliver new materials and technologies that contribute to enhanced lethal effects at the system level as well as increased range and a smaller payload. These, in turn, enable space for larger, mission-critical systems, and shorter time-to-target ensuring Army battlefield dominance in Multi-Domain Operations. Army research must encompass new ways to expedite the discovery, design, and scale-up of new materials and concepts which when integrated into newly designed weapons components (e.g. additively manufactured high strength steels with pre-formed fragmentation patterns, and structural reactive materials) developed at ARL and across the Army and DoD communities, will deliver decisive weapons overmatch.</t>
  </si>
  <si>
    <t>Carderock BAA</t>
  </si>
  <si>
    <t>DOD-ONR-SEA-NSWFCRD</t>
  </si>
  <si>
    <t>Naval Surface Warfare Center - Carderock</t>
  </si>
  <si>
    <t xml:space="preserve">Public and State controlled institutions of higher education </t>
  </si>
  <si>
    <t xml:space="preserve">âˆ’ Digital Ecosystems:â€¢ High speed, intelligent, data-driven decision making for complex operationsâ€¢ Data discovery, information and knowledge managementâ€¢ Rapid adaptable policy and enforcement for digital environments Computational hydrodynamic toolsâ€¢ Seakeeping and loads in extreme seasâ€¢ Maneuvering and controlâ€¢ Maneuvering in wavesâ€¢ Hull-propulsor interactionâ€¢ Hydrodynamic modeling of operations: in an ice slurry; multi-body interactions; propulsor hull system optimization; appendage characterization and scaling; near-surface and near-shore maneuvering and control modeling development Naval Platform Integrity:â€¢ Naval metals and alloys; polymers and rubbers; structural composites; corrosion resistant materials; and/or high-temperature ceramicsâ€¢ Additive Manufacturing and the relationship between processing, microstructure and materials properties, including M Structural assessment and monitoringâ€¢ Shock and Vulnerabilityâ€¢ Non-destructive testing and/or inspectionâ€¢ Ship environmental treatment systems, management, and safetyâ€¢ Bio-fouling and bio-fouling hydrodynamic effectsâ€¢ Battery development and safetyâ€¢ Alternative energy and power sources Ship. Boat, and Submarine Design:â€¢ Ship/Boat/Submarine design toolsâ€¢ Ship/Boat/Submarine design processes and methodsâ€¢ Design evaluation/assessment capabilitiesâ€¢ New and non-traditional platformsâ€¢ Novel ship/boat/submarine designs and missions Signature Management: Underwater and topside signaturesâ€¢ Mobile sensors Unmanned Systems:â€¢ Low cost perception and situational awareness systemsâ€¢ Autonomy and AI/ML decision making and computationsâ€¢ Swarming capabilities Other technology areas will be evaluated on a case-by-case basis. </t>
  </si>
  <si>
    <t>Geospace Cluster</t>
  </si>
  <si>
    <t xml:space="preserve">The Geospace Cluster (GC) in the Division of Atmospheric and Geospace Sciences (AGS) supports fundamental and solutions-oriented research, technology development and education related to the Earth's near-space environment (including the mesosphere, thermosphere, ionosphere, exosphere, magnetosphere and radiation belts) and the inner heliosphere and solar atmosphere. The GC advances knowledge of the Sun--Earth system, including how various parts of the system are coupled through dynamical, electrodynamical and chemical processes. The GC supports research on the societal impacts of these processes including space weather and upper atmosphere climate change, with the aim of increasing resilience to such natural hazards. The GC supports research that uses ground-based or space-based observational facilities and instruments as well as data centers and a broad range of theoretical, modeling, observational, data analyses and laboratory activities.
  General research topics that are supported by the GC include, but are not limited to:
  Aeronomy, including studies of wave dynamics, ionization, recombination, chemical reaction, photo emission and transport of energy and momentum within and between the mesosphere, thermosphere and ionosphere of the Earth; how this global system is coupled to the stratosphere below and magnetosphere above; and the plasma physics of phenomena manifested in the coupled ionosphere-magnetosphere system.
  Magnetospheric physics, including studies of the magnetosphere, or the cavity carved out of the solar wind by the Earth's magnetic field, its energization by the solar wind and population by solar and ionospheric sources; waves and instabilities in such natural plasmas; the origin of planetary electric fields; the origin of geomagnetic storms and substorms; and the coupling among the radiation belts, magnetosphere, ionosphere and atmosphere.
  Solar-terrestrial physics, including how energy generation and eruptive processes occur in the solar atmosphere and how energy and momentum are transported within the Sun-Earth system; solar dynamo, solar activity cycle and magnetic flux emergence; eruptive activity including solar flares and coronal mass ejections; solar wind heating, solar energetic particles and interactions with cosmic rays; solar wind/magnetosphere boundary; and helioseismology.
  Space weather and space climate, including solar or terrestrial drivers of space weather; observations and modeling of the integrative geospace system that could lead to better predictive capabilities of the time-varying space environment; and characterization of space weather impacts on critical infrastructure and technological systems.
Proposals to the GC are welcome at any time. However, the following solicitations in support of specific geospace science and community efforts have target dates or deadlines. They also may have PI and/or Institution restrictions. Please refer to the solicitation documents for further details:
  TheÂ Coupling, Energetics, and Dynamics of Atmospheric Regions (CEDAR)Â targeted research program aims to understand the behavior of the Earth's atmospheric regions from the middle atmosphere upward through the thermosphere and ionosphere into the exosphere in terms of coupling, energetics, chemistry and dynamics on regional and global scales.
  TheÂ Geospace Environment Modeling (GEM)Â targeted research program supports investigations of the physics of the Earth's magnetosphere and the coupling of the magnetosphere to the atmosphere and solar wind, including for making accurate predictions of the geospace environment.
  TheÂ Solar, Heliospheric, and Interplanetary Environment (SHINE)Â targeted research program supports enhanced understanding of and predictive capabilities for the processes by which energy in the form of magnetic fields and particles are produced by the Sun and/or accelerated in interplanetary space and on the mechanisms by which these fields and particles are transported to the Earth through the inner heliosphere.
  TheÂ Faculty Development in geoSpace Science (FDSS)Â solicitation integrates topics in geospace science, including solar and space physics and space weather research, into natural sciences, engineering or related departments at U.S. institutions of higher education. The solicitation also stimulates the development of undergraduate or graduate programs or curricula to train the next generation of leaders in geospace science.
The Geospace Cluster participates in other AGS, GEO and NSF programs and solicitations including but not limited to:
  Distributed Array of Small Instruments (DASI)
  ECosystem for Leading Innovation in Plasma Science and Engineering (ECLIPSE)
AGS encourages and inspires scientific leaders by investing in the atmospheric and geospace sciences, enhancing educational opportunities and experiences and supporting faculty and researchers at all career stages. The Division expects that proposers will integrate education, outreach and dissemination activities into their research plans in compliance with NSF Broader Impacts Merit Review criteria.
AGS invites proposals that include plans for workforce development, educational and outreach activities, open science initiatives and efforts to broaden participation and encourage diverse talent in the atmosphere and geospace sciences. Furthermore, AGS encourages proposals from all institutions, including Minority Serving Institutions, Emerging Research Institutions and institutions in EPSCoR jurisdictions.
The Proposal &amp; Award Policies &amp; Procedures Guide (PAPPG) provides the instructions for submitting proposals to AGS. Additionally, Chapter II.F of the PAPPG defines "Other Types of Proposals," including community-building proposals such as Conference, Travel or Planning Proposals and special categories of proposals, such as Rapid Response Research (RAPID) and EArly-concept Grants for Exploratory Research (EAGER). Proposals that are not compliant with the PAPPG will be returned without review.
The following sections highlight specific NSF-, GEO-, or AGS-wide solicitations that may be relevant to the AGS Community. Please be aware that solicitations are frequently updated, so make sure that you are looking at the most recent version. Â 
Career Development
AGS Postdoctoral Research Fellowship (AGS-PRF): The AGS-PRF program supports researchers (also known as Fellows) for up to 24 months at the institution of their choice. The program is intended to recognize beginning investigators of significant potential and provide them with research experience that will broaden perspectives, facilitate interdisciplinary interactions, and establish them in leadership positions within the AGS community.
Faculty Early Career Development Program (CAREER): The CAREER program supports early career (assistant professor-level) faculty who have the potential to serve as academic role models in research and education and to lead advances for their department or organization. Awards are 5 years long and must integrate research and education.
Mid-Career Advancement (MCA): The MCA program provides opportunities for scientists and engineers at the associate professor rank (or equivalent) to substantively enhance and advance their research program through synergistic partnerships.
Capacity Development
EMpowering BRoader Academic Capacity and Education (EMBRACE):Â  The EMBRACE program supports research and educational efforts at "non-R1" institutions, including non-R1 minority serving institutions (MSIs), two-year colleges (2YCs), primarily undergraduate institutions (PUIs), and emerging research (ERIs) and master's level institutions.
Historically Black Colleges and Universities Excellence in Research (HBCU - EiR):Â  The HBCU-EiR program supports research at public and private historically Black colleges and universities to strengthen research capacity and promote engagement with NSF.
Facilitating Research at Primarily Undergraduate Institutions (RUI and ROA):Â  RUI awards support PUI faculty in research that engages them in their professional field(s), build capacity for research at their home institution, and support the integration of research and undergraduate education. ROA awards similarly support PUI faculty research, but these awards typically allow faculty to work as visiting scientists at research-intensive organizations where they collaborate with other NSF-supported investigators.
Instrumentation and Facilities
Major Research Instrumentation:Â  The MRI program supports requests for up to $4 million from NSF for the development or acquisition of multi-user research instruments that are critical to the advancement of science and engineering.
Mid-scale Research Infrastructure-1:Â  The MSRI-1 program supports the design and implementation of research infrastructure--including equipment, cyberinfrastructure, large-scale datasets and personnel--whose total project costs exceed the NSF Major Research Instrumentation program limit but are under $20 million.
Mid-scale Research Infrastructure-2:Â  The MSRI-2 program supports the implementation of research infrastructure--including equipment, cyberinfrastructure, large-scale datasets and personnel--whose total project costs fall between $20 million and $100 million.
</t>
  </si>
  <si>
    <t>Infrastructure Cluster</t>
  </si>
  <si>
    <t>AGS Infrastructure Cluster 
The Atmospheric and Geospace Sciences (AGS) Infrastructure Cluster (IC) is responsible for the oversight of facilities that enable research in the atmospheric and geospace sciences. The IC primarily oversees the NSF National Center for Atmospheric Research (NCAR), but it also supports community-based instrumentation and facilities, and data storage and provisioning.
NSF &lt;span class="NormalTextRun SCXW90113113 BCX8" style="margin: 0px; padding: 0px; user-select: text; -webkit-user-drag: none; -webkit-tap-highlight-color: transparent;" data-ccp-chars</t>
  </si>
  <si>
    <t>Atmosphere Cluster</t>
  </si>
  <si>
    <t xml:space="preserve">
The Atmosphere Cluster (AC)Â in the Division of Atmospheric and Geospace Sciences (AGS)Â supportsÂ fundamental studies of atmospheric processes from the Earth s surface to theÂ stratosphere, and from timescales of nanoseconds to millennia. Core areas of research include the chemical, physical, and dynamical processes in the atmosphere thatÂ impactÂ clouds, weather, climate, air quality, and the water cycle.Â Research methods include modeling, collecting observations, conducting experiments in the laboratory and field, and advancing analytical measurement techniques.Â 
Â 
General research topics that are supported by the AC include, andÂ are not limited to:Â 
Chemical processes and mechanisms that explain how atmospheric gases and aerosols form, react,Â transformÂ and interact with the surrounding environment.Â 
ProcessesÂ and dynamics that governÂ climateÂ and hydroclimate,Â includingÂ their mean state, variability, response to external forcingÂ andÂ their role inÂ the establishment ofÂ aÂ global energy and water balance; coupled atmosphere-ocean interactions, land-atmosphere interactions and interactionsÂ amongÂ clouds, atmosphericÂ circulationÂ and climate.Â 
Observational and modeling studies of past climate and its drivers and studies that developÂ and synthesizeÂ paleoclimate proxies and records.Â 
Physics and dynamics of atmospheric motions on all scales,Â from the planetary to the microscale, including the general circulation of the troposphere and stratosphere, planetary waves, synoptic and mesoscale systems, convection, gravity waves,Â turbulenceÂ and planetary boundary layer dynamics.Â 
Physical meteorology including aerosol, cloud, and precipitation physics and atmospheric electricity.Â 
Synoptic and mesoscale meteorology includingÂ the processes,Â predictabilityÂ and future changes inÂ severe and hazardous weather.Â 
Â 
Proposals to theÂ ACÂ are welcome at any time. However, the following solicitations in support of specific atmospheric science and community efforts have target dates or deadlines. They also may haveÂ PIÂ and/orÂ Institution restrictions. Please refer toÂ the solicitation documents for further details:Â 
Â 
TheÂ Paleo Perspectives on Present and Projected Climate (P4CLIMATE)Â solicitation supportsÂ observational and modeling studies to provide paleo perspectives addressing the two research themes: 1) Past Regional and Seasonal Climate; and 2) Past Climate Forcing, Sensitivity, andÂ Feedbacks.Â 
TheÂ Facility and Instrumentation Request Process (FIRP)Â solicitation describes theÂ requirements for the submission of proposals that will make use of AGS-supported facilities and instrumentation managed by the Facilities for Atmospheric Reseach and Education (FARE) program.Â 
AGS encouragesÂ and inspiresÂ scientific leadersÂ byÂ investing inÂ the atmospheric and geospace sciences, enhancing educational opportunities and experiencesÂ and supporting faculty and researchersÂ at all career stages.Â The Division expects that proposers will integrate education,Â outreachÂ and dissemination activities into their research plans in compliance with NSF Broader ImpactsÂ Merit ReviewÂ criteria. Â 
Â 
AGS invites proposals that include plans for workforce development, educational and outreach activities, open science initiatives,Â and efforts to broaden participation and encourage diverse talent in the atmosphere andÂ geospaceÂ sciences. Furthermore, AGS encourages proposals from all institutions, including Minority Serving Institutions, Emerging ResearchÂ InstitutionsÂ and institutions inÂ Established ProgramÂ to Stimulate Competitive ResearchÂ (EPSCoR)Â jurisdictions.Â 
Â 
The Proposal   Award Policies   Procedures Guide (PAPPG)Â providesÂ the instructions forÂ submittingÂ proposals toÂ AGS.Â Additionally, Chapter II.F of the PAPPG defines  Other Types of Proposals,  including community-building proposals such as Conference, Travel or Planning Proposals and special categories of proposals, such as Rapid Response Research (RAPID) and EArly-concept Grants for Exploratory Research (EAGER).Â Proposals that are not compliant with the PAPPG will be returned without review.Â 
Â 
The following sections highlight specific NSF-, GEO-Â or AGS-wide solicitations that may be relevant to the AGS Community. Please be aware that solicitations areÂ frequentlyÂ updated, so make sure that you are looking at the most recent version.Â Â Â 
Â 
Career DevelopmentÂ 
Â 
AGS Postdoctoral Research Fellowship (AGS-PRF):Â  The AGS-PRF program supports researchers (also known as Fellows) for up to 24 months at the institution of their choice. The program is intended to recognize beginning investigators of significant potential and provide them with research experience that will broaden perspectives,Â facilitateÂ interdisciplinaryÂ interactionsÂ andÂ establishÂ them in leadership positions within theÂ AGSÂ community.Â 
Â 
Faculty Early Career Development ProgramÂ (CAREER):Â Â The CAREER program supportsÂ early career (assistant professor-level) faculty who have the potential to serve as academic role models in research and education and to lead advances for their department or organization. Awards are 5 years long and must integrate research and education.Â 
Â 
Mid-Career Advancement (MCA):Â Â The MCA program providesÂ opportunities for scientists and engineers at the associate professor rank (or equivalent) to substantively enhance and advance their research program through synergistic partnerships.Â 
Â Â 
Capacity DevelopmentÂ 
Â 
EMpowering BRoader Academic Capacity and Education (EMBRACE):Â Â The EMBRACE program supportsÂ research and educational efforts at "non-R1" institutions, including non-R1 minority serving institutions (MSIs), two-year colleges (2YCs), primarily undergraduate institutions (PUIs), and emerging researchÂ (ERIs)Â and master's level institutions.Â 
Â 
Historically Black Colleges and Universities - Excellence in Research (HBCU - EiR):Â Â The HBCU-EiRÂ Â– program supports research at public and private historically Black colleges and universities to strengthen researchÂ capacityÂ and promote engagement with NSF.Â 
Â 
Facilitating Research at Primarily Undergraduate Institutions (RUI and ROA):Â  RUIÂ awardsÂ support PUI faculty in research that engages them in their professional field(s), buildsÂ capacityÂ for research at their home institution, and supportsÂ the integration of research and undergraduate education. ROAÂ awards similarly support PUI faculty research, but these awards typically allow faculty to work as visiting scientists at research-intensive organizations where they collaborate with other NSF-supported investigators.Â 
Â 
Instrumentation and FacilitiesÂ 
Â 
Major Research Instrumentation:Â Â The MRI program supports requests for up to $4 million from NSF for the development or acquisition of multi-user research instruments that are critical to the advancement of science and engineering.Â 
Â 
Mid-scale Research Infrastructure-1:Â Â The MSRI-1 program supports the design and implementation of research infrastructure Â— including equipment, cyberinfrastructure, large-scaleÂ datasetsÂ and personnel Â— whose total project costs exceed the NSF Major Research Instrumentation programÂ limitÂ but are under $20 million.Â 
Â 
Mid-scale Research Infrastructure-2:Â Â The MSRI-2 program supports the implementation of research infrastructure Â— including equipment, cyberinfrastructure, large-scaleÂ datasetsÂ and personnel Â— whose total project costs fall between $20 million and $100 million.Â Â 
 Â 
</t>
  </si>
  <si>
    <t>Behavioral and Integrative Treatment Development Program (R01 Clinical Trial Optional)</t>
  </si>
  <si>
    <t>The purpose of this funding opportunity announcement (FOA) is to encourage behavioral intervention development research to test efficacy, conduct clinical trials, examine mechanisms of behavior change, determine dose-response, treatment optimization, and/or ascertain best sequencing of behavioral, combined, sequential, or integrated behavioral and pharmacological (1) drug abuse treatment interventions, including interventions for patients with comorbidities; (2) drug abuse treatment and adherence interventions; (3) drug abuse treatment and adherence interventions that utilize technologies to boost effects and increase implementability and sustainability; (4) interventions to prevent the acquisition or transmission of HIV infection among individuals in drug abuse treatment; (5) interventions to promote adherence to drug abuse treatment, HIV and addiction medications; and (6) interventions to treat substance misuse and chronic pain. Research of interest includes but is not limited to Stage II and Stage III efficacy research.</t>
  </si>
  <si>
    <t>Safety, Security, and Privacy of Open-Source Ecosystems</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</si>
  <si>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-State and Local Governments
  -Tribal Nations: An American Indian or Alaska Native tribe, band, nation, pueblo, village, or community that the Secretary of the Interior acknowledges as a federally recognized tribe pursuant to the Federally Recognized Indian Tribe List Act of 1994, 25 U.S.C.   5130-5131.
  -
Institutions of Higher Education (IHEs) - Two- and four-year IHEs (including community colleges) accredited in, and having a campus located in the US, acting on behalf of their faculty members.
*Who May Serve as PI:
For Institutions of Higher Education:
By the submission deadline, any PI, co-PI, or other Senior/Key Personnel must hold either:
 a tenured or tenure-track position, or 
 a primary, full-time, paid appointment in a research or teaching position, or 
 a staff leadership role in an Open-Source Program Office or equivalent position 
at a U.S.-based campus of an Institution of Higher Education (see above), with exceptions granted for family or medical leave, as determined by the submitting institution.
Individuals with primary appointments at overseas branch campuses of U.S. institutions of higher education are not eligible.Researchers from foreign academic institutions who contribute essential expertise to the project may participate as Senior/Key Personnel or collaborators but may not receive NSF support.
For all other eligible proposing organizations:
The PI must be an employee of the proposing organization who is normally resident in the US and must be acting as an employee of the proposing organization while performing PI responsibilities. The PI may perform the PI responsibilities while temporarily out of the U.S.
Individuals withprimaryappointments atnon-U.S.basednon-profit ornon-U.S.basedfor-profit organizations are not eligible.</t>
  </si>
  <si>
    <t>Vulnerabilities in an open-source product and/or its continuous development, integration and deployment infrastructure can potentially be exploited to attack any user (human, organization, and/or another product/entity) of the product. To respond to the growing threats to the safety, security, and privacy of open-source ecosystems (OSEs), NSF is launching theSafety, Security, and Privacy for Open-Source Ecosystems(Safe-OSE) program. This program solicits proposals from OSEs, including those not originally funded byNSF s Pathways to Enable Open-Source Ecosystems (POSE)program, to address significant safety, security, and/or privacy vulnerabilities, both technical (e.g., vulnerabilities in code and side-channels) and socio-technical (e.g., supply chain, insider threats, and social engineering).
Although most open-source products are software-based, it is important to note that Safe-OSE applies to any type of OSE, including those based on scientific methodologies, models, and processes; manufacturing processes and process specifications; materials formulations; programming languages and formats; hardware instruction sets; system designs or specifications; and data platforms. The goal of the Safe-OSE program is to catalyze meaningful improvements in the safety, security, and privacy of the targeted OSE that the OSE does not currently have the resources to undertake. Funds from this program should be directed toward efforts to enhance the safety, security, and privacy characteristics of the open-source product and its supply chain as well as to bolster the ecosystem s capabilities for managing current and future risks, attacks, breaches, and responses.</t>
  </si>
  <si>
    <t>Regional Resiliency   Vulnerability Assessments for Ocean and Coastal Acidification (RVA OA25)</t>
  </si>
  <si>
    <t>Others (see text field entitled "Additional Information on Eligibility" for clarification) Eligible applicants are institutions of higher education; other nonprofits; commercial organizations; state, local and Tribal governments; and authorized Federal agencies. Applications from non-Federal and Federal applicants will be competed against each other. Proposals selected for funding from non-Federal applicants will be funded through a grant or cooperative agreement as described above in section II. C. of this notice. Proposals selected for funding from NOAA scientists shall be effected by an intra-agency fund transfer. Proposals selected for funding from a non-NOAA Federal agency will be funded through an inter-agency transfer. PLEASE NOTE: Before non-NOAA Federal applicants may be funded, they must demonstrate that they have legal authority to receive funds from another Federal agency in excess of their appropriation. Because this announcement is not proposing to procure goods or services from applicants, the Economy Act (31 USC 1535) is not an appropriate legal basis.</t>
  </si>
  <si>
    <t>The NOAA Ocean Acidification Program is requesting proposals for collaborative projects that synthesize ocean and coastal acidification information at a regional scale. This announcement specifically addresses priorities for how ocean and coastal acidification - in the context of changing ocean conditions - affects dependent human communities (the human dimensions of ocean and coastal acidification). This includes the identification and engagement of interested partners and groups, the assessment of their needs, and the generation of products and tools that support management, adaptation, and resilience to ocean and coastal acidification. These projects should provide actionable information to decision makers and/or bolster the resilience of the nationâ€™s economy by determining where societal vulnerabilities to ocean and coastal acidification exist or are emerging. This funding opportunity will only support the collection of social science data. Synthesis of existing data in other fields is strongly encouraged. Funding is contingent upon the availability of Fiscal Year 2025 Federal appropriations. Projects funded under this announcement will have a September 1, 2025 start date. Approximately 1â€“6 projects for up to 3 years in duration are expected to be funded at the level of approximately $100,000 - $400,000 per year per proposal. It is anticipated that a total of up to $3 million may be available in FY25 to support the first year of these projects.</t>
  </si>
  <si>
    <t>U.S.-South Africa Program for Collaborative Biomedical Research  Phase 3 (HIV/AIDS) (R01 Clinical Trial Optional)</t>
  </si>
  <si>
    <t>Others (see text field entitled "Additional Information on Eligibility" for clarification) Other Eligible Applicants include the following:
 Non-domestic (non-U.S.) Entities (Foreign Organizations); See funding opportunity for eligibility criteria. 
Non-domestic (non-U.S.) components of U.S. Organizations are not eligible to apply.</t>
  </si>
  <si>
    <t>The purpose of this Notice of Funding Opportunity (NOFO) is to support research projects under Phase 3 of the U.S.-South Africa Program for Collaborative Biomedical Research.  Research areas supported under this program include HIV/AIDS, HIV/AIDS co-morbidities and co-infections, HIV/AIDS-associated implementation science, and HIV/AIDS-associated data science. The hallmark of the U.S.-South Africa program is the development of collaborative partnerships between South African investigators and United States (U.S.) investigators. Through international collaboration, this research will advance scientific discoveries, promote sharing of technologies and approaches, and serve local public health needs and priorities in support of global HIV/AIDS research.</t>
  </si>
  <si>
    <t>Cellular Models of HIV Pathogenesis within NIDDK Mission Areas (R01 Clinical Trial Not Allowed)</t>
  </si>
  <si>
    <t>This Notice of Funding Opportunity (NOFO) invites applications that are focused on developing, using, and/or improving cellular models that recapitulate critical aspects of normal human physiology, such as microphysiological systems, organoids, and other three-dimensional models, to explore the interaction of HIV with tissues and processes within NIDDK's mission areas.  Projects are expected to investigate mechanisms of viral persistence, latency, reactivation, eradication, or pathological processes contributing to co-occurring conditions.</t>
  </si>
  <si>
    <t>ROSES 2024: A.5 Carbon Cycle Science</t>
  </si>
  <si>
    <t xml:space="preserve">NOTICE: Amended January 14, 2025. The due date for proposals has been deferred to February 19, 2025. Also, references to the now defunct Proposer's Guide have been replaced with ones to the new NASA Grant and Cooperative Agreement Manual (GCAM). New text is in bold and deleted text is struck through. 
Please note that this program requests optional Notices of Intent, which are due via NSPIRES by October 17,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</si>
  <si>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Multilateral Partnerships Leveraging Excellence</t>
  </si>
  <si>
    <t>Many of the most pressing challenges in research and innovation require collaboration across national and disciplinary boundaries to achieve important advances. A growing number of topics are best addressed on a multilateral basis, building partnerships that leverage diverse expertise, data, infrastructure, and perspectives to advance understanding on critical topics of regional or global importance. At the same time, funders, research organizations, and researchers alike typically have limited experience with multilateral partnerships. 
The Office of International Science and Engineering s MultiPLEx program seeks to support visionary, and ambitious international multilateral research partnerships that are required to hasten progress in addressing grand challenges by leveraging research excellence in the U.S. and around the globe. The program also seeks to advance understanding of effective multilateral collaboration.
MultiPLEx welcomes proposals that
Address urgent research and/or societal challenge of global importance (including but not limited to critical and emerging technology research) and require an inherently international multilateral approach to achieve impactful research results, partnering with at least two countries other than the U.S. Proposals that engage partners across distinct geographic regions are an area of interest.
Make clear how the proposed international collaboration will enable research advances and broader impacts that go beyond what can be accomplished by a narrower team.
Include a diverse group of U.S. institutions and/or individuals, leveraging the full range of talent that society has to offer
MultiPLEx funds support the U.S. research team. Research partners should seek funding from their own national funding agencies or from other sources. A typical MultiPLEx award will be up to three years in duration. 
The MultiPLEX program is not intended to replace existing OISE or directorate programs. Proposals submitted to MultiPLEX must fall outside the scope of existing OISE or directorate programs. Any proposal submitted to MultiPLEx that is not responsive to this Program Description may be transferred to another OISE program or returned without review.
OISE may periodically issue a Dear Colleague Letter inviting MultiPLEx proposals in specific priority areas. PIs interested in submitting proposals that do not respond to a DCL are strongly encouraged to consult a MultiPLEx program director prior to submission to confirm appropriateness. Unless specified in a DCL, MultiPLEx proposals may be submitted any time.</t>
  </si>
  <si>
    <t>Discovery Research PreK-12 Program Resource Center on Transformative Education Research and Translation</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</si>
  <si>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-State and Local Governments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</si>
  <si>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This solicitation seeks proposals for the Discovery Research PreK-12 program s Resource Center (DRK-12 RC) onTransformative Education Research and Translation.
The DRK-12 RC will be an intellectual partner as NSF seeks to enhance the overall influence and reach of the DRK-12 Program s research and development investments. In this partner role, the DRK-12 RC will support and recruit diverse, multi-sector constituencies with the goal of achieving the field-, knowledge-, and partnership-building aims of the DRK-12 program. Further, it is expected that the Resource CenteronTransformative Education Research and Translation will play a central role in helping the DRK-12 Program to:
(1) identify and share promising resources, tools, approaches, and research findings with teachers, school leaders and administrators and policymakers for feedback, strategic use and the advancement of science;
(2) facilitate communication and collaboration among current, former, and prospective DRK-12 award recipients as a means of building STEM education researchers  capacity to conduct rigorous and meaningful work across the full range of project types supported by the program; and
(3) further raise the national visibility of the DRK-12 program's goals and impacts.
The DRK-12 RC is expected to work collaboratively with NSF and the DRK-12 Program s constituent communities including other NSF resource hubs and centers to design, implement, and evaluate these three broad activities.</t>
  </si>
  <si>
    <t>FY2024 Community Project Funding/Congressionally Directed Spending</t>
  </si>
  <si>
    <t>Unrestricted (i.e., open to any type of entity above), subject to any clarification in text field entitled "Additional Information on Eligibility" Only organizations named in Appendix 1, as specified in the Explanatory Statement for Division D of the Departments of Labor, Health and Human Services and Education, and Related Agencies Appropriations Act, 2024 are eligible for grant awards under this Training and Employment Guidance Letter. Applications submitted from organizations not listed in this table will not be considered for review.</t>
  </si>
  <si>
    <t>Questions regarding this Funding Opportunity Announcement (FOA) may be emailed to Community.Projects.ETA@dol.gov. We encourage prospective applicants and interested parties to use the Grants.gov subscription option to register for future updates provided for this particular FOA.</t>
  </si>
  <si>
    <t>ROSES 2024: A.60 Earth Action: Ecological Conservation</t>
  </si>
  <si>
    <t xml:space="preserve">Amended January 23, 2025. The requirement for cost sharing (in Sections 3.1.5 and 3.1.6) has been removed. Also, outdated references to the Proposerâ€™s Guide have been replaced with references to the NASA GCAM and links to updated templates for Biographical Sketches and Current and Pending Support are provided. New text is in bold and deleted text is struck through. The due dates remain unchanged: Notices of intent are requested by February 14, 2025, and proposals are due March 14, 2025. 
ï»¿Please note that this program requests optional Notices of Intent, which are due via NSPIRES by February 14, 2024. See the full posting on NSPIRES for details. 
NOTICE: Amended August 30, 2024. This amendment presents this new program element in ROSES-2024. Notices of intent are requested by February 14, 2025, and proposals are due March 14, 2025. Virtual meetings for potential proposers will occur Friday, November 15th (1-3 PM Eastern Time) and Monday, January 13th (1-3 PM Eastern Time). Connect information will be posted under other documents on the right side of this NSPIRES page no later than October 18, 2024. This program element has requirements that differ from and supersede the defaults in the ROSES Summary of Solicitation and the Proposerâ€™s Guide, e.g., cost sharing (Sections 3.1.5 and 3.1.6), the 3-page "End User Description Form" (Section 4.8), and use of the Earth Science Divisionâ€™s template for work effort and current and pending support, see Section 4.6. The completed End User Description Form must be uploaded as a separate document within the NSPIRES submission system. 
Proposers intending to use Grants.gov in lieu of NSPIRES must contact Keith Gaddis Keith.Gaddis@NASA.gov and cc sara@nasa.gov at least 30 days in advance of the proposal due date.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</si>
  <si>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NSF Trailblazer Engineering Impact Award (Trailblazer)</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</si>
  <si>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
 Institutions of Higher Education (IHEs) - Two- and four-year IHEs (including community colleges) accredited in, and having a campus located in the US, acting on behalf of their faculty members. 
*Who May Serve as PI:
The PI must hold a tenured or tenure-eligible faculty appointment at the Associate or Full Professor rank or equivalent at an organization that is eligible to submit as described under  Who May Submit Proposals.  Additionally, the PI must have an appointment in an Engineering School or College and/or have earned an Engineering Doctorate degree. If the proposal is submitted by a non-profit, non-academic organization, the PI must meet the following requirements: (1) the PI has a continuing appointment that is expected to last the 3 years of a TRAILBLAZER award; and (2) the appointment has substantial research responsibilities span class= TextRun Highlight SCXW173617513 BCX0  lang=  xml:lang=  data-contrast= 
 Prior or concurrent funding support for other projects that overlap with the proposed TRAILBLAZER project will preclude eligibility for a TRAILBLAZER award. 
 span class= TextRun Highlight SCXW173617513 BCX0  lang=  xml:lang=  data-contrast= span class= TextRun Highlight SCXW173617513 BCX0  lang=  xml:lang=  data-contrast= span class= TextRun Highlight SCXW173617513 BCX0  lang=  xml:lang=  data-contrast= span class= NormalTextRun TrackChangeHoverSelectHighlightBlue SCXW173617513 BCX0 span class= TrackChangeTextInsertion TrackedChange SCXW169867339 BCX0 span class= TextRun SCXW169867339 BCX0  lang=  xml:lang=  data-contrast= nly single PI TRA span class= TrackChangeTextInsertion TrackedChange SCXW169867339 BCX0 span class= TextRun SCXW169867339 BCX0  lang=  xml:lang=  data-contrast= ILBLAZER proposals will be accepted in response to this solicitation. span class= TrackChangeTextInsertion TrackedChange SCXW169867339 BCX0 span class= TextRun SCXW169867339 BCX0  lang=  xml:lang=  data-contrast= span class= TrackChangeTextInsertion TrackedChange SCXW169867339 BCX0 span class= TextRun SCXW169867339 BCX0  lang=  xml:lang=  data-contrast= ollaborative proposals span class= TrackChangeTextInsertion TrackedChange SCXW169867339 BCX0 span class= TextRun SCXW169867339 BCX0  lang=  xml:lang=  data-contrast= span class= TrackChangeTextInsertion TrackedChange SCXW169867339 BCX0 span class= TextRun SCXW169867339 BCX0  lang=  xml:lang=  data-contrast= as described in PAPPG Chapter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t>
  </si>
  <si>
    <t>The NSF Trailblazer Engineering Impact Award (TRAILBLAZER) program supports individual investigators who propose novel research projects with the potential to innovatively and creatively address national needs and/or grand challenges, advance US leadership, and catalyze the convergence of engineering and science domains. TRAILBLAZER will support engineers and scientists who leverage their distinctive track record of innovation and creativity to pursue new research directions that are distinct from their previous or current research areas.
All funded TRAILBLAZER projects will form an NSF TRAILBLAZER cohort, and principal investigators will be expected to participate in an annual meeting. TRAILBLAZER investigators may also be invited to additional activities.
INFORMATIONAL WEBINAR:The Emerging Frontiers and Multidisciplinary Activities (EFMA) Office will host an informational webinar on October 15, 2024 to discuss the TRAILBLAZER program and answer questions about the FY 2025 TRAILBLAZER solicitation. Details on how to join this webinar will be posted on theDirectorate for Engineering and EFMA Websites.</t>
  </si>
  <si>
    <t>NOAA Great Lakes Fish Habitat Restoration Partnership Grants</t>
  </si>
  <si>
    <t>Others (see text field entitled "Additional Information on Eligibility" for clarification) Eligible applicants are institutions of higher education, non-profits, commercial (for profit) organizations, U.S. territories, and state, local and Native American tribal governments. Applications from federal agencies or employees of federal agencies will not be considered. Federal agencies are strongly encouraged to work with states, non- governmental organizations, municipal and county governments, and others that are eligible to apply. Eligible applicants may be located anywhere but must propose work within the Great Lakes basin and within one of the eight U.S. Great Lakes states (New York, Pennsylvania, Ohio, Michigan, Indiana, Illinois, Wisconsin, and Minnesota).</t>
  </si>
  <si>
    <t>The principal objective of the NOAA Great Lakes Fish Habitat Restoration Partnership Grants competition is to provide federal financial and technical assistance to habitat restoration projects that meet NOAA's mission to restore coastal habitats and support the Great Lakes Restoration Initiative (GLRI) (https://www.epa.gov/sites/default/files/2019-10/documents/glri-action-plan-3-201910-30pp.pdf) goal to protect and restore habitats to sustain healthy populations of native fish species in the eight U.S. Great Lakes states. Proposals submitted under this solicitation will be evaluated based on alignment with our program priorities, including: 1) contribution to GLRI Focus Area 1 (Toxic Substances and Areas of Concern) goals to implement management actions within Areas of Concern (AOC), and 2) contribution to GLRI Focus Area 4 (Habitats and Species) goals to restore habitat for native Great Lakes fish species whose populations have been impacted by habitat degradation. Through this solicitation, we intend to address GLRI Focus Area 4 goals by prioritizing a subset of habitat restoration projects identified by the Lake Committees as Environmental Priorities to meet fish community objectives for Great Lakes fish species. Lake Committees are composed of senior officials from state, provincial, and U.S. intertribal fishery agencies, convened by the Great Lakes Fishery Commission. Together, they are responsible for managing the Lakesâ€™ fisheries and developing plans and guidance to sustain healthy populations of Great Lakes commercial and recreational fish species. *Please note that the Project Abstract Summary Form is not required in the Application.</t>
  </si>
  <si>
    <t>Community-led Monitoring of Integrated Primary Health Care Services Activity (INTEG-CLM-PHC) in Burkina Faso</t>
  </si>
  <si>
    <t>USAID-GHA</t>
  </si>
  <si>
    <t>Ghana USAID-Accra</t>
  </si>
  <si>
    <t>Others (see text field entitled "Additional Information on Eligibility" for clarification) Eligibility for this NOFO is restricted to local entities in Burkina-Faso, subject to the terms and conditions mentioned in the NOFO.</t>
  </si>
  <si>
    <t>Primary health care (PHC) is a whole-of-society approach to effectively organize and strengthen national health systems to bring services for health and wellbeing closer to communities. PHC should ensure that health care is delivered in a way that is centered on peopleâ€™s needs and respects their preferences. The fundamental premise of PHC is that all people, everywhere, have the right to achieve the highest attainable level of health. Integrated health services help to meet the health needs of communities throughout their lives, addressing the broader determinants of health through multisectoral policy and action. PHC should empower individuals, families and communities to take charge of their own health.PHC services in Burkina-Faso often do not meet the needs of the communities they serve. Contributing factors include poor service quality, a lack of accountability among service providers, and insufficient community involvement in service delivery. These issues lead to decreased use of PHC services.Goal: The goal of INTEG-CLM-PHC is to increase community uptake of integrated PHC services at selected health facilities in Burkina-Faso.Objective: The objective of this activity is to improve the quality of integrated PHC services, ensuring they are responsive to the needs of the communities they serve, particularly vulnerable populations such as women, children, and people living with HIV/AIDS.</t>
  </si>
  <si>
    <t>Closing inequities in HIV Prevention, Care and Treatment among key populations in Burkina Faso Activity (Equity KP Burkina Faso)</t>
  </si>
  <si>
    <t>Others (see text field entitled "Additional Information on Eligibility" for clarification) Eligibility for this NOFO is restricted to local entities (Burkina Faso), subject to the terms and conditions mentioned in the NOFO. Local entities are defined in ADS 303.6(b) as follows:_x000D_
For the purposes of this section, local entity means an individual, a corporation, a _x000D_
nonprofit organization, or another body of persons that _x000D_
_x000D_
1)	is legally organized under the laws of, _x000D_
2)	has as its principal place of business or operations in, _x000D_
3)	is majority owned by individuals who are citizens or lawful permanent _x000D_
4)	residents of, and _x000D_
5)	managed by a governing body the majority of who are citizens or lawful _x000D_
6)	permanent residents of a country receiving assistance from funds appropriated under _x000D_
7)	title III of this Act._x000D_
_x000D_
Only Burkina Faso Non-US organizations may participate under this NOFO, subject to terms and conditions mentioned in the NOFO.</t>
  </si>
  <si>
    <t>The closing inequities in HIV prevention, care and treatment among key populations activity seeks to support the Governments of Togo and Burkina Faso and civil society organizations, to accelerate progress toward sustainably achieving HIV epidemic control among key populations (KP) by 2030. Equity KP Burkina Faso is a five-year cooperative agreement that will be issued to a local entity to accelerate progress toward achieving sustainable HIV epidemic control among Key populations by 2030. The Equity KP Burkina Faso activity will contribute to the following objectives: Provide quality, comprehensive HIV services to Key Populations (KP) and their sexual partners at community and facility levels.Â· Enhance the enabling environment for KP and their sexual partners.Â· Strengthen monitoring and evaluation, sustainability, and environmental compliance.Refer to Section A of attached NOFO for additional information</t>
  </si>
  <si>
    <t>Closing inequities in HIV Prevention, Care and Treatment among key populations in Togo Activity (Equity KP Togo)</t>
  </si>
  <si>
    <t>Others (see text field entitled "Additional Information on Eligibility" for clarification) Eligibility for this NOFO is restricted to local entities in Togo, subject to the terms and conditions mentioned in the NOFO. Local entities are defined in ADS 303.6(b) as follows:_x000D_
For the purposes of this section, local entity means an individual, a corporation, a _x000D_
nonprofit organization, or another body of persons that _x000D_
_x000D_
1)	is legally organized under the laws of, _x000D_
2)	has as its principal place of business or operations in, _x000D_
3)	is majority owned by individuals who are citizens or lawful permanent _x000D_
4)	residents of, and _x000D_
5)	managed by a governing body the majority of who are citizens or lawful _x000D_
6)	permanent residents of a country receiving assistance from funds appropriated under _x000D_
7)	title III of this Act._x000D_
_x000D_
Only Togo Non-US organizations may participate under this NOFO, subject to terms and conditions mentioned in the NOFO.</t>
  </si>
  <si>
    <t>The closing inequities in HIV prevention, care and treatment among key populations activity seeks to support the Governments of Togo and Burkina Faso and civil society organizations, to accelerate progress toward sustainably achieving HIV epidemic control among key populations (KP) by 2030. Equity KP Togo is a five-year cooperative agreement that will be issued to a local entity to accelerate progress toward achieving sustainable HIV epidemic control among Key populations by 2030. The Equity KP Togo activity will contribute to the following objectives: Provide quality, comprehensive HIV services to Key Populations (KP) and their sexual partners at community and facility levels.Â· Enhance the enabling environment for KP and their sexual partners.Â· Strengthen monitoring and evaluation, sustainability, and environmental compliance.Please refer to Section A of the attached NOFO for additional information</t>
  </si>
  <si>
    <t>Mid-scale Research Infrastructure-1</t>
  </si>
  <si>
    <t>Others (see text field entitled "Additional Information on Eligibility" for clarification) *Who May Submit Proposals: Proposals may only be submitted by the following:
  -
Proposals may only be submitted by organizations located in the United States, its territories, or possessions, as follows.
 Institutions of higher education (Ph.D.-granting and non-Ph.D.-granting), acting on behalf of their faculty members, that are accredited in and have their main campus in the United States, its territories, or possessions. Distinct academic campuses (e.g., that award their own degrees, have independent administrative structures, admissions policies, alumni associations, etc.) within multi-campus systems qualify as separate submission-eligible institutions. 
 Not-for-profit, non-degree-granting domestic U.S. organizations, acting on behalf of their employees, for example (but not limited to) independent museums and science centers, observatories, research laboratories and similar organizations that are directly associated with the Nation's research activities. These organizations must have an independent, permanent administrative organization (e.g., a sponsored projects office) located in the United States, its territories, or possessions, and have 501(c)(3) tax status. 
 Consortia as follows: 
 p style= padding-left: 30px; a) A legally incorporated, not-for-profit consortium that includes two or more submission-eligible organizations as described in items (1) and (2) above. Such a consortium is one with an independent administrative structure (e.g., a sponsored projects office) located in the United States, its territories, or possessions and has 501(c)(3) status.
 p style= padding-left: 30px; b) Submission-eligible organizations as described in items (1) and (2) above, on behalf of an informal consortium. The Cover Sheet of such a proposal must identify both a PI and co-PI(s) from at least two Mid-scale RI-1 submission-eligible organizations (items 1 and/or 2 above) as lead investigators in the consortium. These consortium proposals may also include as partners, via subawards,other U.S. and non-U.S. organizations that are not eligible to submit Mid-scale RI-1 proposals.
 p style= padding-left: 30px; In either case, the proposal title should indicate that a consortium is proposing.
 p class= For-profit commercial organizations, especially U.S. small businesses with strong capabilities in scientific or engineering research or education, are eligible for infrastructure support through subawards/subcontracts as private sector partners with submitting organizations; they may not submit proposals in response to this solicitation. Such partnerships must be substantive and meaningful and build capacity for infrastructure development withinMid-scale RI-1 submission-eligible organization(s). In addition, the value added by the for-profit commercial organization should be justified as a unique contribution that is otherwise unavailable within organizations described in (1) and (2). Unless otherwise specified in the award, title to the resulting infrastructure should be retained by the Mid-scale RI-1-eligible performing organization. Prospective PIs may contact cognizantMid-scale RI-1 program officers regarding organizational eligibility, and for information on other NSF funding opportunities for instrumentation and research infrastructure.
 p class= Additionally:
 Proposals that augment MREFC projects: The Mid-scale RI-1 program will not accept proposals for an instrument or other infrastructure that augments an ongoing NSF Major Multi-user Facility or Mid-scale RI-2 project in the construction stage, since the scope of those projects is already defined. A list of Major Facilities projects is available at  a href=  and the  a href= BooleanR</t>
  </si>
  <si>
    <t>NSF-supported science and engineering research increasingly relies on cutting-edge infrastructure. With its Major Research Instrumentation (MRI) program and Major Multi-user Facilities ("Major Facilities") projects, NSF supports infrastructure projects at the lower and higher range of infrastructure project costs, Foundation-wide, across science and engineering research disciplines. The Foundation-wide Mid-scale Research Infrastructure opportunity is intended to provide NSF with an agile, Foundation-wide process to fund experimental research capabilities in the mid-scale range between MRI and Major Multi-user Facilities.
NSF defines Research Infrastructure (RI) as any combination of facilities, equipment, instrumentation, or computational hardware or software, and the necessary human capital in support of the same. Major facilities and mid-scale projects are subsets of research infrastructure. The NSF Mid-scale Research Infrastructure-1 Program (Mid-scale RI-1) supports either design activities or implementation of unique and compelling RI projects. Mid-scale implementation projects may include any combination of equipment, instrumentation, cyberinfrastructure, broadly used large scale datasets and the personnel needed to successfully commission the project. Mid-scale RI-1 design activities include the design efforts intended to lead to eventual implementation of a mid-scale class RI project. Mid-scale RI-1 projects should involve the training of a diverse workforce engaged in the design and implementation of STEM research infrastructure. Mid-scale RI-1 projects should directly enable advances in any of the research domains supported by NSF. Projects may also include upgrades to existing research infrastructure.
Mid-scale RI-1 emphasizes strong scientific merit, a response to an identified need of the research community and/or fulfillment of a national need to enable U.S. researchers to be competitive in a global research environment. Well-conceived technical and management plans are essential for both design and implementation proposals, as are well-developed plans (e.g., mentoring and professional development) for student training and the involvement of a diverse STEM workforce in all aspects of mid-scale design and/or implementation activities. The inclusion of individual project participants that will lead to a supportive working environment is especially encouraged at all levels of the project team.
Within Mid-scale RI-1, proposers may submit two types of projects,   (e.g., acquisition and/or construction) or  . The   track is intended to facilitate progress toward readiness for a mid-scale range implementation project. Both Implementation projects and Design activities may involve new or upgraded research infrastructure. Mid-scale RI-1 "Implementation" projects may have a total project cost ranging from $4 million up to but not including $20 million. Mid-scale RI-1 "Design" activities may request less than $4 million, with a minimum request of $400,000 and a maximum request up to but not including $20 million, as appropriate, to prepare for a future mid-scale range implementation project. Note: Successful award of a Mid-scale RI-1 design activity does not imply NSF's commitment to the future implementation of the project being designed, nor is a Mid-scale RI-1 design award required for the submission of an implementation project.
The Mid-scale RI-1 Program seeks to broaden the representation of PIs and institutions in its award portfolio, including a geographically diverse set of institutions (especially those in EPSCoR jurisdictions). Proposals submitted by, or involving partnerships between institutions are encouraged. Participation in this opportunity is encouraged for the full spectrum of diverse talent society has to offer to include PIs who are women, early-career researchers, persons with disabilities, or members of other groups underrepresented in STEM. To improve participation in science and engineering research for persons with disabilities, Mid-scale RI-1 encourages PIs to incorporate accessibility as part of Mid-scale RI-1 design activity and implementation projects.
Please consult NSF's Research Infrastructure Guide, or RIG (available at https://www.nsf.gov/bfa/lfo/lfo_documents.jsp), for definitions of certain terms used in this solicitation, such as the Project Execution Plan (PEP) and Design and Execution Plan (DEP). The RIG provides guidance specific to Mid-scale Research Infrastructure Projects, including references to other parts of the RIG as needed. Note that PEP or DEP should be appropriately scaled for the complexity of the project and may not require all of the elements described in the RIG.
Mid-scale research infrastructure projects with total project costs beyond the Mid-scale RI-1 Program limit are separately solicited through the Mid-scale RI-2 Program. Proposals to the Mid-scale RI-1 Program with total project costs outside of this solicitation's budgetary limits, either during initial submission or after cost analyses/revisions during subsequent review, are subject to return without further review.</t>
  </si>
  <si>
    <t>Cell and Gene Therapy (CGT) Access Model</t>
  </si>
  <si>
    <t>State governments Eligible applicants are States, the District of Columbia, and any U.S. Territory participating in the Medicaid Drug Rebate Program (MDRP).</t>
  </si>
  <si>
    <t>This Notice of Funding Opportunity (NOFO) announces the opportunity to apply for Cooperative Agreement funding to support States participation in the Cell and Gene Therapy (CGT) Access Model (the CGT Access Model or the Model). Eligible applicants are States, the District of Columbia, and any U.S. territory that participates in the Medicaid Drug Rebate Program (MDRP). A maximum of $9.55 million may be awarded to each Recipient, depending on the number of States that apply for funding, pending availability of funds.</t>
  </si>
  <si>
    <t>Computational and Data-Enabled Science and Engineering</t>
  </si>
  <si>
    <t xml:space="preserve">Large-scale simulations and the ability to accumulate massive amounts of data have revolutionized science and engineering. The goal of the Computational and Data-enabled Science and Engineering (CDS E) meta-program is to identify and capitalize on opportunities for major scientific and engineering breakthroughs through new computational and data-analysis approaches and best practices. The CDS E meta-program supports projects that harness computation and data to advance knowledge and accelerate discovery above and beyond the goals of the participating individual programs. The intellectual drivers may be in an individual discipline or cut across more than one discipline in various Divisions and Directorates. A CDS E proposal should enable and/or utilize the development and adaptation of advances in research and infrastructure in computational and data science.
The CDS E meta-program encourages research that pushes the envelope of science and engineering through computation and data, welcoming proposals in any research area supported by the participating divisions. A proposal may address topics that develop or enable interactions among theory, computing, experiment, and observation to achieve progress on hitherto intractable science and engineering problems. Areas of emphasis for CDS E vary by program. PIs are advised to consult the "related programs" links below before submitting.
The CDS E meta-program is not intended to replace existing programs that support projects involving computation or the analysis of large or complex data sets using established methods. Rather, proposals submitted to the CDS E meta-program must have a significant component of computational or data science that goes well beyond what would typically be included in these programs.Any proposal submitted to the CDS E program that is not responsive to this Program Description may be transferred to or reviewed within the context of an individual program. A proposal requesting consideration within the context of CDS E should begin the title with the identifying acronym "CDS E:". Supplement requests to existing awards may also be considered. A CDS E proposal should include substantive science, engineering, or computing research. Algorithm and pilot software development supporting science and engineering may also be appropriate, depending on the program. Proposers who seek to implement proven, existing methods into robust cyberinfrastructure are referred instead to the program on Cyberinfrastructure for Sustained Scientific Innovation (CSSI).
A CDS E proposal should be submitted to one of the "Related Programs" or Divisions by the associated submission window, deadline, or target date listed in the table below. In picking the most relevant program, PIs are advised to read program descriptions and solicitations carefully and consult with cognizant Program Officers before proposal preparation. Proposal submissions outside the receiving program's scientific scope may be transferred to a different program or returned without review.
Due Dates
DirectorateDivision and ProgramSubmission Window or Target Date
ENG
Division of Chemical, Bioengineering, Environmental, and Transport Systems
 September 01, 2024 - September 16, 2024
 September 01- September 15, Annually Thereafter
ENG
Division of Civil, Mechanical and Manufacturing Innovation
 September 01, 2024 - September 16, 2024
 September 01- September 15, Annually Thereafter
MPS
Division of Chemistry - Chemical Catalysis (CAT), Chemical Mechanism, Function, and Properties (CMFP), Chemical Synthesis (SYN)
 September 01, 2024 - September 30, 2024
 September 01 - September 30, Annually Thereafter
MPS
Division of Materials Research
 October 15, 2024
 October 15, Annually Thereafter
MPS
Division of Astronomical Sciences - Advanced Technologies and Instrumentation
 October 01, 2024 - November 15, 2024
 October 01 - November 15, Annually Thereafter
MPS
Division of Chemistry - Chemical Measurement and Imaging (CMI), Environmental Chemical Sciences (ECS), and Macromolecular, Supramolecular and Nanochemistry (MSN)
 October 01, 2024 - October 31, 2024
 October 1 - October 31, Annually Thereafter
MPS
Division of Mathematical Sciences
 October 15, 2024 - October 31, 2024
 October 15 - October 31, Annually Thereafter
MPS
Division of Astronomical Sciences - Astronomy and Astrophysics Research Grants
 October 01, 2024 - November 15, 2024
 October 01 - November 15, Annually Thereafter
MPS
Division of Physics: Investigator-Initiated Research Projects   Plasma Physics program
 November 20, 2024,
 Third Monday in November, Annually Thereafter
MPS
Division of Chemistry - Chemistry of Life Processes (CLP), Chemical Structure and Dynamics (CSD), Chemical Theory, Models and Computational Methods (CTMC)
 Full proposals accepted anytime
</t>
  </si>
  <si>
    <t>Advancing Research on Molecular Targets and Mechanisms that Influence the Interplay Between Sex Hormones, HIV, and Addictive Substances (R21 Clinical Trials Not Allowed)</t>
  </si>
  <si>
    <t>The purpose of this notice of funding opportunity (NOFO) is to support studies to delineate the mechanisms by which sex hormones influence the consequences of comorbid HIV and drug use and use this knowledge to explore biological mechanisms as potential therapeutic targets to address HIV-substance use disorders (SUD) comorbidity.
This NOFO requires a Plan for Enhancing Diverse Perspectives (PEDP), which will be assessed as part of the scientific and technical peer review evaluation. Applications that fail to include a PEDP will be considered incomplete and will be withdrawn.
Applicants are strongly encouraged to read the NOFO instructions carefully and view the available PEDP guidance material.</t>
  </si>
  <si>
    <t>Advancing Research on Molecular Targets and Mechanisms that Influence the Interplay Between Sex Hormones, HIV, and Addictive Substances (R01 Clinical Trials Not Allowed)</t>
  </si>
  <si>
    <t>Class of 2025 Vannevar Bush Faculty Fellowship (VBFF)</t>
  </si>
  <si>
    <t>Background
Before World War I, Dr. Vannevar Bush (1890-1974) was a professor and Dean of Engineering at the Massachusetts Institute of Technology, and founded a large defense and electronics company. He was a forward-thinking policymaker who, during World War II, went on to serve as the director of the U.S. Defense Departmentâ€™s Office of Scientific Research and Development, coordinating the work of thousands of scientists in the service of ending the war. In his 1945 report to the President of the United States, Science, â€œThe Endless Frontierâ€, Bush called for an expansion of government support for science, and he pressed for the creation of the National Science Foundation (NSF). Dr. Bush was concerned about how the scientific research supported by the Department of Defense (DoD) during WWII could be sustained with a focus on peacetime goals. He believed that basic research was â€œthe pacemaker of technological progressâ€. â€œNew products and new processes do not appear full-grownâ€, Bush wrote. â€œThey are founded on new principles and new conceptions, which in turn are painstakingly developed by research in the purest realms of scienceâ€.
Dr. Bushâ€™s life work embodies the spirit of this research program, formerly known as the National Security Science and Engineering Faculty Fellowship (NSSEFF). Therefore, in his in his honor, the name was changed to the Vannevar Bush Faculty Fellowship (VBFF) program (https://www.defense.gov/News/Article/Article/955536/dod-debuts-vannevar-bush-faculty-fellowship).
Research Objectives
The VBFF program is sponsored by the Basic Research Office, Office of the Under Secretary of Defense for Research and Engineering (USD (R E)). VBFF supports innovative basic research within academia, as well as opportunities intended to develop the next generation of scientists and engineers for the defense workforce.
The Office of Naval Research (ONR) manages the VBFF program for USD (R E). To accomplish this task, ONR is soliciting proposals for the VBFF program through this FOA. This FOA seeks distinguished researchers for the purpose of conducting innovative basic research in areas of interest to the DoD and fostering long-term relationships between the VBFF Fellows and the DoD.</t>
  </si>
  <si>
    <t>ROSES 2024: C.20 Interdisciplinary Consortia for Astrobiology Research</t>
  </si>
  <si>
    <t xml:space="preserve">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</si>
  <si>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Local Partner Fund (LPF)</t>
  </si>
  <si>
    <t>USAID-DEM</t>
  </si>
  <si>
    <t>Democratic Republic of the Congo USAID-Kinshasa</t>
  </si>
  <si>
    <t>Others (see text field entitled "Additional Information on Eligibility" for clarification) Local entities in DRC and CAR</t>
  </si>
  <si>
    <t xml:space="preserve">USAID LPF will advance USAID DRC localization agenda by addressing competition requirements and allowing an open solicitation process to receive concepts for partnering with local organizations and increasing their ability to generate and achieve locally led solutions to major development challenges, and by providing direct awards to local organizations to implement activities. USAID LPF will work in tandem with USAID Localization Capacity Strengthening Mechanism to respond to capacity building needs in partner organizations and help to strengthen the abilities of local partners beyond the donor-awardee relationship in a way that guarantees consistency, mutual accountability, and sustainability. USAID LPF will consider inclusive development as a key element of USAID local programming across the DRC and CAR, and will foster collaboration, learning, and adapting, as prerequisites for successful implementation. </t>
  </si>
  <si>
    <t>National Leadership Grants for Libraries (2025)</t>
  </si>
  <si>
    <t>Others (see text field entitled "Additional Information on Eligibility" for clarification) See the Notice of Funding Opportunity for eligibility requirements.</t>
  </si>
  <si>
    <t>The National Leadership Grants for Libraries Program (NLG-L) enhances the quality of library services for the American public by addressing critical needs in the library and archives fields. The models, tools, research findings, services, and partnerships resulting from these awards can be widely used, adapted, scaled, or replicated to extend and maximize public benefit.</t>
  </si>
  <si>
    <t>Laura Bush 21st Century Librarian Program (2025)</t>
  </si>
  <si>
    <t>The Laura Bush 21st Century Librarian Program (LB21) supports the training and professional development of library and archives professionals; developing faculty and information leaders; and recruiting, educating, and retaining the next generation of library and archives professionals in order to develop a diverse library and archival workforce and meet the information needs of their communities.</t>
  </si>
  <si>
    <t>ROSES 2024: D.20 Exoplanet Mass Measurement Program</t>
  </si>
  <si>
    <t xml:space="preserve">NOTICE: Amended January 16, 2025. The due dates for this program have been deferred. Mandatory NOIs are now due February 13, 2025, and proposals are due March 18, 2025. 
ï»¿PLEASE NOTE: this program has MANDATORY Notices of Intent, which are due via NSPIRES by January 23,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</si>
  <si>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F24AS00414 Fisheries Restoration and Irrigation Mitigation Act Fiscal Year 2024</t>
  </si>
  <si>
    <t>Unrestricted (i.e., open to any type of entity above), subject to any clarification in text field entitled "Additional Information on Eligibility" Eligible entities may include, but are not limited to those listed above.   Activities proposed under this award: (1) must be located in Pacific Ocean drainages of the States of California, Idaho, Oregon, Washington, or Montana; (2) participation must be voluntary; (3) must have 35% Non-Federal cost share. Bonneville Power Administration (BPA) funding can be applied to the Non-Federal cost share; (4) project type must be voluntary irrigation diversion passage, screening, barrier inventories, and  related features : (5) project components that receive funding under this Act shall be ineligible to receive federal funds from any other source (with the exception of BPA funds) for the same purpose; (6) the project will be agreeable to Federal and non-Federal entities with authority and responsibility for the project: (7) award minimum will be $100,000; award maximum will be $1,000,000, and;(8) non-Federal participants in any project carried out under the Program on land or at a facility that is not owned by the United States shall be responsible for all costs associated with operating, maintaining, repairing, rehabilitating, and replacing the project.Applicants must ensure that activities occurring outside the United States, or its territories are coordinated as necessary with appropriate U.S. and foreign government authorities, and that any necessary licenses, permits, or approvals are obtained prior to undertaking proposed activities.</t>
  </si>
  <si>
    <t>The Fisheries Restoration and Irrigation Mitigation Act (FRIMA) (Public Law 106-502) of  2000 was established with the goals of decreasing fish mortality associated with the withdrawal of water for irrigation and other purposes without impairing the continued withdrawal of water for those purposes; and to decrease the incidence of juvenile and adult fish entering water supply systems. FRIMA is a voluntary fish screening and passage program targeted to Pacific Ocean drainage areas of Idaho, western Montana, Oregon, and Washington. Eligible projects include fish screens, fish passage devices, and related inventories by the States. FRIMA was Reauthorized in FY2009. The Consolidated Appropriations Act of 2023 provided $5 million to the National Fish Passage Program (NFPP) for the implementation of FRIMA and added the Pacific Ocean drainage areas of California as eligible for FRIMA funds.The National Fish Passage Program (NFPP) is a voluntary program that provides direct technical and financial assistance to partners to remove instream barriers and restore aquatic organism passage and aquatic connectivity for the benefit of Federal trust resources. In doing so, NFPP aims to maintain or increase fish populations to improve ecosystem resiliency and provide quality fishing experiences for the American people. Funds provided to NFPP for the implementation of FRIMA will support the development, improvement, or installation of fish screens, fish passage devices and related features to mitigate impacts on fisheries associated with irrigation water system diversions in Pacific Ocean drainages in Oregon, Washington, Montana, Idaho, and California.The NFPP is delivered through the Fish and Aquatic Conservation Program (FAC). We use our staff and cooperative partnerships to provide: (1) information on habitat needs of fish and other aquatic species; (2) methods for fish to bypass barriers; (3) technical support to review project designs and recommend the most cost-effective techniques; (4) assistance to partners in planning and prioritizing fish passage projects; and (5) assistance in fulfilling environmental compliance requirements.Activities proposed under this award for FRIMA: (1) must be located in areas of California, Idaho, Oregon, Washington, or western Montana that drain into the Pacific Ocean, (2) participation must be voluntary, (3) must have 35% Non-Federal cost share per Public Law 106-502. Bonneville Power Administration (BPA) funding can be applied to the Non-Federal cost share, (4) project type must be voluntary irrigation diversion passage, screening, barrier inventories, and â€˜related featuresâ€™, (5) project components that receive funding under this Act shall be ineligible to receive federal funds from any other source (with the exception of BPA funds) for the same purpose, (6) the project will be agreeable to Federal and non-Federal entities with authority and responsibility for the project, (7) award minimum will be $100,000; award maximum will be $1,000,000, and (8) the non-Federal participants in any project carried out under the Program on land or at a facility that is not owned by the United States shall be responsible for all costs associated with operating, maintaining, repairing, rehabilitating, and replacing the project.</t>
  </si>
  <si>
    <t>NSF National Quantum Virtual Laboratory - Quantum Testbeds</t>
  </si>
  <si>
    <t>Others (see text field entitled "Additional Information on Eligibility" for clarification) *Who May Submit Proposals: Proposals may only be submitted by the following:
  -
The complete process for determining eligibility to submit to the Design and Implementation Phases is described in Section II, Program Description.
NQVL:QSTD:Design
Submission of a QSTD:Design proposal is contingent upon the existence of a QSTD:Pilot project in the same topical area, and the positive recommendation from the site visit panel that will review the QSTD:Pilot project nine-months into the QSTD:Pilot project. Transitioning from the QSTD:Pilot to the QSTD:Design phase, the Lead Organization and the Lead PI may change subject to the eligibility limits on number of proposals per organization and per PI or co-PI stated in this solicitation.
Following upon a clear and agreed-upon understanding of goals and objectives, the selection of a Lead Organization, and approval by the NSF to advance from the Pilot to the Design phase, QSTD:Pilot teams may choose to consolidate prior to submitting a QSTD:Design proposal to advance to the Design phase. There are no restrictions or limitations on the type of organization eligible to serve as Lead Organization on the proposal.
NQVL:QSTD:Implementation
Submission of a QSTD:Implementation proposal is contingent upon the existence of a QSTD:Design project in the same topical area, and the positive recommendation from the last annual site visit panel review of the QSTD:Design project. Transitioning from the QSTD:Design to the QSTD:Implementation phase, the Lead Organization and the Lead PI may change subject to the eligibility limits on number of proposals per organization and per PI or co-PI stated in this solicitation.
Following upon a clear and agreed-upon understanding of goals and objectives, the selection of a Lead Organization, and approval by the NSF to advance from the Design to the Implementation phase, QSTD:Design teams may choose to consolidate prior to submitting a QSTD:Implementation proposal to advance to the Implementation phase. There are no restrictions or limitations on the type of organization eligible to serve as Lead Organization on the proposal.</t>
  </si>
  <si>
    <t xml:space="preserve">The National Quantum Initiative (NQI) Act1aims to ensure the continuing leadership of the United States (U.S.) in quantum information science and technology. In conformance with the NQI goals, an argument2-5was set forth for a renewed emphasis on identifying and fostering early adoption of quantum technologies to transform the field of Quantum Information Science and Engineering (QISE) and to accelerate broader impacts on society. A systematic approach to maturing quantum technology platforms by integrating end-users and potential customers from other fields of science and engineering and other sectors of the economy into cycles of research, development, and demonstration should lower the barriers for end-users to pioneer new applications. NSF support for use-inspired and translational research in QISE, combined with continued strong support of the underlying foundational research, is anticipated to accelerate development of a market for quantum technologies.
With this program solicitation, the Foundation is taking the next step in implementing the National Quantum Virtual Laboratory (NQVL) concept as an overarching shared infrastructure designed to facilitate the translation from basic science and engineering to the resultant technology, while at the same time emphasizing and advancing its scientific and technical value. The NQVL aims to develop and utilize use-inspired and application-oriented quantum technologies. In the process, NQVL researchers will explore quantum frontiers6, foster the development of QISE education and workforce development strategies, engage in outreach activities at all levels, and promote input and participation from the full spectrum of diverse talent in QISE, thereby lowering barriers at all entry points of the research enterprise. Engagement with all sectors of the United States (U.S.) QISE community will be necessary for this initiative to succeed, and, indeed, the project is designed to include participation from a full spectrum of organizations who have expertise to contribute. In particular, NSF recognizes that the involvement of industry partners is essential and will welcome these to be a part of the overall structure. Partnerships with other U.S. Federal agencies under the NQI umbrella are also encouraged.
While this solicitation lays out the vision for the entire NQVL program that includes Quantum Science and Technology Demonstration (QSTD) projects, support for enabling technologies through Transformative Advances in Quantum Systems (TAQS), as well as a central coordination hub, only proposals for Design- and Implementation-phase QSTDs are solicited at this time.
Submission of a QSTD:Design proposal is contingent upon the existence of a QSTD:Pilot project in the same topical area, and the positive recommendation from the Conceptual Design Review of the QSTD:Pilot project. The QSTD:Design project builds on progress made in the QSTD:Pilot phase.
Submission of a QSTD:Implementation proposal is contingent upon the existence of a QSTD:Design project in the same topical area, and the positive recommendation from the Preliminary Design Review of the QSTD:Design project. The QSTD:Implementation project builds on progress made in the QSTD:Design phase.
It is required that prospective PIs contact the NQVL Program Officer(s) as soon as possible, but not later than two weeks before submitting a proposal in response to this solicitation, to ascertain that the focus and budget of their proposal is appropriate for this solicitation.
H.R.6227 - National Quantum Initiative Act,https://www.congress.gov/bill/115th-congress/house-bill/6227
Accelerating Progress Towards Practical Quantum Advantage, A National Science Foundation Project Scoping Workshop (2022),https://arxiv.org/abs/2210.14757
Quantum Computer Systems for Scientific Discovery, PRX Quantum 2, 017001 (2021)https://doi.org/10.1103/PRXQuantum.2.017001
Development of Quantum InterConnects for Next-Generation Information Technologies, PRX Quantum 2, 017002 (2021)https://doi.org/10.1103/PRXQuantum.2.017002
Quantum Simulators: Architectures and Opportunities, PRX Quantum 2, 017003 (2021)https://doi.org/10.1103/PRXQuantum.2.017003
Quantum Frontiers: Report on Community Input to the Nation's Strategy for Quantum Information Science,https://www.quantum.gov/wp-content/uploads/2020/10/QuantumFrontiers.pdf
</t>
  </si>
  <si>
    <t>NSF Small Business Innovation Research / Small Business Technology Transfer Fast-Track Pilot Programs</t>
  </si>
  <si>
    <t>Others (see text field entitled "Additional Information on Eligibility" for clarification) *Who May Submit Proposals: Proposals may only be submitted by the following:
  -
Small businesses concerns must meetALLof the following requirements:
 Proposers that have submitted aSBIR/STTR Fast-Track Project Pitch and received an official invitation from a cognizant NSF SBIR/STTR Program Officerwithinthe 4 months precedingthe proposal submission date. To start this process, proposers must first create a log in and submit a Project Pitch document via the NSF SBIR/STTR Fast-Track Project Pitch a href= online form . The cognizant NSF SBIR/STTR Program Officer will use the Project Pitch to determine whether the proposed project is a good fit for the Fast-Track program. 
 Companies qualifying as a small business concern are eligible to participate in the NSF SBIR/STTR Fast-Track pilot programs (see a href= Guide to SBIR/STTR Program Eligibility for more information). Please note that the size limit of 500 employees includes affiliates. The firm must be in compliance with the a href= SBIR/STTR Policy Directive and the a href= Code of Federal Regulations . For STTR proposals, the proposing small business must also include a partner research institution in the project, see additional details below. 
 The SBIR/STTR Fast-Track pilot effort shares the same goals as the NSF SBIR/STTR Phase I and Phase II funding opportunities, but the Fast-Track pilot programs have different eligibility requirements. Small businesses applying to the NSF SBIR/STTR Fast-Track pilot programs must have 1) a lineage of NSF research funding, 2) at least one Senior/Key Personnel to have undergone formal customer discovery training, and 3) the entire team must already be in place (not yet to be determined) at the time of proposal submission. If the small business concern does not meet all three of these criteria, their proposal will be transferred to the NSF SBIR/STTR Phase I program for consideration.
 Lineage Eligibility Requirement.The technical innovation in the Fast-Track proposal must be derived from a prior NSF research award that is either currently active or was active within the previous five years from the date of submission of the Fast-Track proposal. The Fast-Track Project Pitch and proposal must include the NSF award number and title of the research award that is relied upon to meet the lineage requirement. The Fast-Track proposal s PI or at least one Senior/Key Personnel must have been supported under the lineage award. If the Fast-Track team member relied upon to meet the lineage requirement is named on the lineage award, no further documentation will berequired. If not, the Fast-Track proposal must include a letter from the PI or a Co-PI of the lineage award confirming that either the PI or a named Senior/Key Personnel on the Fast-Track team was engaged in research undertaken under the lineage award.In addition to regular NSF research awards (e.g., CAREER, individual investigator awards, center/institute awards, etc.), a href= Partnerships for Innovation (PFI) a href= NSF Graduate Research Fellowship Program (GRFP) count as NSF lineage forSBIR/STTR Fast-Track eligibility. a href= NSF Innovation Corps (I-Corps) a href= NSF SBIR/STTR span style= text-decoration: underline; do not count as NSF research lineage and  span style= text-decoration: underline; do not  convey SBIR/STTR Fast-Track eligibility. 
 Formal Customer Discovery Eligibility Requirement.Companies must have received formal customer discovery training, defined as follows, within the</t>
  </si>
  <si>
    <t>The NSF SBIR/STTR and SBIR/STTR Fast-Track pilot programs support moving scientific excellence and technological innovation from the lab to the market. By funding startups and small businesses, NSF helps build a strong national economy and stimulates the creation of novel products, services, and solutions in private, public, or government sectors with potential for broad impact; strengthens the role of small business in meeting federal research and development needs; increases the commercial application of federally supported research results; and develops and increases the US workforce, especially by fostering and encouraging participation by socially and economically disadvantaged and women-owned small businesses.
These NSF SBIR/STTR Fast-Track pilot programs provide fixed amount cooperative agreements for thedevelopment of a broad range of technologiesbased on discoveries in science and engineeringwith potential for societal and economic impacts. Unlike fundamental or basic research activities that focus on scientific and engineering discovery itself, the NSF SBIR/STTR Fast-Track pilot programs support the creation of opportunities to move use-inspired and translational discoveries out of the lab and into the market or other use at scale, through startups and small businesses.The NSF SBIR/STTR Fast-Track pilot programs do not solicit specific technologies or procure goods and services from startups and small businesses.Any invention conceivedorreduced to practice with the assistance ofSBIR/STTR fundingis subject to the Bayh-Dole Act. For more information refer toSBIR/STTR Frequently Asked Questions #75. 
NSF promotes inclusion by encouraging proposals from diverse populations and geographic locations.
The traditional NSF SBIR/STTR programs include two funding Phases   Phase I and Phase II. All proposers to the programs must first apply for Phase I funding   there is no direct-to-Phase II option. Under a traditional NSF SBIR/STTR Phase I award, a small business can receive non-dilutive funding for research and development (R D) to demonstrate technical feasibility over 6 to 12 months and then, after completion of a Phase I project, companies may apply for Phase II funding to further develop the proposed technology.
There aresignificantbenefits for SBIR/STTRFast-Track recipients:the submission of only oneproposalfor Phase I and Phase IIand a faster transition from Phase I to Phase II.While startups and small businesses face many challenges, NSF SBIR/STTR Fast-Track funding is intended to specifically focus on challenges associated with technological innovation; that is, on the creation of new products, services, and other scalable solutions based on fundamental science or engineering. A successful Fast-Track proposal must demonstrate how NSF funding will help the small business create a proof-of-concept or prototype by retiring technical risk.
NSF seeks unproven, leading-edge, technology innovations that demonstrate the following characteristics:
The innovations are underpinned and enabled by a new scientific discovery or meaningful engineering innovation.
The innovations still require intensive technical research and development to be fully embedded in a reliable product or service.
The innovations have not yet been reduced to practice by anyone and it is not guaranteed, at present, that doing so is technically possible.
The innovations provide a strong competitive advantage that are not easily replicable by competitors (even technically proficient ones).
Once reduced to practice, the innovations are expected to result in a product or service that would either be disruptive to existing markets or create new markets/new market segments.
The NSF SBIR/STTR Fast-Track pilot programs focus on stimulating technical innovation from diverse entrepreneurs and start-ups by translating new scientific and engineering concepts into products and services that can be scaled and commercialized into sustainable businesses with significant societal benefits. The programs provide non-dilutive funding for research and development (R D) of use-inspired scientific and engineering activities at the earliest stages of the company and technology development. During the course of the award, the emphasis is expected to shift from de-risking those aspects preventing the innovation from reaching technical feasibility and driving the intended impact to a greater focus on commercially relevant development activities that will allow the company to differentiate itself and drive new value propositions to the market and society.
NSF encourages input and participation from the full spectrum of diverse talent that society has to offer which includes underrepresented and underserved communities.
These NSF programs are governed by15 USC 638and the National Science Foundation Act of 1950, as amended (42 USC  1861, et seq.).
Introduction to the Program
The NSF SBIR/STTR programs focus on stimulating technical innovation from diverse entrepreneurs and startups by translating new scientific and engineering discoveries emerging from the private sector, federal labs, and academia into products and services that can be scaled and commercialized into sustainable businesses with significant societal benefits.
These NSF SBIR/STTR Fast-Track pilot programs enable companies based on previous NSF awards (NSF award lineage) to submita single proposalthat, if awarded, can provide a faster pathway from Phase I to Phase II funding.Receipt of full funding under the Fast-Track pilot programs is contingent on the results of a company s Phase II transition review.
The NSF SBIR/STTR Fast-Track pilot programs are part of theDirectorate for Technology, Innovation and Partnerships (TIP), which was recently launched to accelerate innovation and enhance economic competitiveness by catalyzing partnerships and investments that strengthen the links between fundamental research and technology development, deployment, and use.</t>
  </si>
  <si>
    <t>USAID/Egypt APS Addendum - Private Sector Collaboration Pathway (PSCP) Annual Program Statement (APS)</t>
  </si>
  <si>
    <t>Small businesses For the purposes of this Addendum, and in accordance with the PSCP APS, the core requirement for a private sector partner must be met by one or more of the following types of entities: - Private for-profit, commercial entities such as a business, corporation, or small or medium enterprise or private firm;- Private foundations affiliated with private for-profit, commercial entities; - Private finance providers, intermediaries, or financial institutions, including banks, private investment firms, mutual funds, private equity funds, pension funds, and insurance companies; - Private business or industry associations, including but not limited to chambers of commerce and related types of entities, provided the members are entities, not individuals; or - Cooperatives.In addition, collaborations supported under this PSCP APS must involve cooperation between USAID and the private sector. An award to an implementer cannot be issued unless the award results from direct communication and co-creation between USAID and at least one of the types of private sector entities listed above. Parastatals and government-owned companies do not qualify as private sector under this APS. Individuals are not eligible as private sector; private sector is limited to entities. With the exception of business and industry associations and cooperatives, non-profit non-governmental organizations are not eligible to satisfy the private sector partnering requirement under this APS.</t>
  </si>
  <si>
    <t xml:space="preserve">Through this Private Sector Collaboration Pathway (PSCP) Annual Program Statement (APS) addendum, USAID/Egypt seeks private sector partnerships that support one or more Development Objectives (DOs), as listed under the current Egypt Country Development Cooperation Strategy (CDCS, 2020-2025).  
This addendum creates a mechanism for USAID/Egypt to receive concept papers for collaboration and partnerships with private sector entities. The APS outlines a phased co-creation process that entails exploring interests, submitting a concept; if successful, the parties will continue co-creation toward a potentially funded award. 
</t>
  </si>
  <si>
    <t>ROSES 2024: F.20 Mentorship and Opportunities in STEM with Academic Institutions for Community Success (MOSAICS) Seed Funding</t>
  </si>
  <si>
    <t xml:space="preserve">NOTICE: Amended September 27, 2024. The cut-off date for proposals to be included in the Winter 2025 review has been extended to October 11, 2024, to give more time to those proposers who may be impacted by Hurricane Helene. New text is in bold and deleted text is struck through. 
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Please check the solicitation for review dates to help time your submission.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</si>
  <si>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NSF Small Business Innovation Research / Small Business Technology Transfer Phase I Programs</t>
  </si>
  <si>
    <t>Others (see text field entitled "Additional Information on Eligibility" for clarification) *Who May Submit Proposals: Proposals may only be submitted by the following:
  - 
 Proposers must obtain an official invitation to submit a proposal.To receive the invitation, potential proposers must submit a a href=  target= Project Pitch and receive an official response (via email) from the cognizant Program Officer. Project Pitch invitations are valid for two deadlines after the date of the initial official invitation from NSF; for example, if an official invitation is received on May 30, 2024, the proposer may submit for either the September 18, 2024, or November 6 deadline. In this example, submissions after November 6, 2024 will require a new Project Pitch invitation. 
 Firms qualifying as a small business concern are eligible to participate in the NSF SBIR/STTR programs (see a href=  target= Eligibility Guide for more information). Please note that the size limit of 500 employees includes affiliates. The firm must be in compliance with the a href=  target= SBIR/STTR Policy Directive and the Code of Federal Regulations ( a href=  target= 13 CFR Part 121 ). For STTR proposals, the proposing small business must also include a partner research institution in the project, see additional details below. 
In compliance with the a href= CHIPS and Science Act of 2022 , Section 10636 (Person or entity of concern prohibition) ( a href= 42 U.S.C. 19235 ): No person published on the list under section 1237(b) of the Strom Thurmond National Defense Authorization Act for Fiscal Year 1999 ( a href= Public Law 105-261 a href= 50 U.S.C. 1701 note ) or a href= entity identified under section 1260H of the William M. (Mac) Thornberry National Defense Authorization Act for Fiscal Year 2021 ( a href= 10 U.S.C. 113 note a href= Public Law 116-283 ) may receive or participate in any grant, award, program, support, or other activity under the Directorate for Technology, Innovation and Partnerships.
 Individuals who are a current party to a Malign Foreign Talent Recruitment Program are not eligible to serve as a Senior/Key Person on an NSF proposal or on any NSF award made after May 20, 2024. See current PAPPG for additional information on required certifications associated with Malign Foreign Talent Organization. The Authorized Organizational Representative (AOR) must certify that all individuals identified as Senior/Key Personnel have been made aware of and have complied with their responsibility under that section to certify that the individual is not a party to a Malign Foreign Talent Recruitment Program. 
The startup s or small business  research and development (R D) must be performed within the United Sta</t>
  </si>
  <si>
    <t>The NSF SBIR/STTRprograms provide non-dilutive funds for use-inspired research and development (R D) of unproven, leading-edge, technology innovations that address societal challenges. By investing federal research and development funds into startups and small businesses, NSF helps build a strong national economy and stimulates the creation of novel products, services, and solutions in the private sector; strengthens the role of small business in meeting federal research and development needs; increases the commercial application of federally-supported research results; and develops and increases the U.S. workforce, especially by fostering and encouraging participation by socially and economically-disadvantaged and women-owned small businesses.
NSF seeks unproven, leading-edge technology innovations that demonstrate the following characteristics:
The innovations are underpinned and enabled by a new scientific discovery or meaningful engineering innovation.
The innovations still require intensive technical research and development to be fully embedded in a reliable product or service.
The innovations have not yet been reduced to practice by anyone and it is not guaranteed, at present, that doing so is technically possible.
The innovations provide a strong competitive advantage that are not easily replicable by competitors (even technically proficient ones).
Once reduced to practice, the innovations are expected to result in a product or service that would either be disruptive to existing markets or create new markets/new market segments.
The NSF SBIR/STTR programs fund broadly across scientific and engineering disciplines and do not solicit specific technologies or procure goods and services from startups and small businesses. The funding provided is non-dilutive. Any invention conceived or reduced to practice with the assistance of SBIR/STTR funding is subject to the Bayh-Dole Act. For more information, refer to the SBIR/STTR Frequently Asked Questions, #75.
NSF encourages input and participation from the full spectrum of diverse talent that society has to offer which includes underrepresented and underserved communities.
This program is governed by15 U.S.C. 638and the National Science Foundation Act of 1950, as amended (42 U.S.C. 1861 et seq.).
Introduction to Program:
The SBIR and STTR programs, initiated at NSF, were established in 1982 as part of the Small Business Innovation Development Act. The NSF SBIR/STTR programs focus on stimulating technical innovation from diverse entrepreneurs and startups by translating new scientific and engineering discoveries emerging from the private sector, federal labs, and academia into products and services that can be scaled and commercialized into sustainable businesses with significant societal benefits.
The NSF SBIR/STTR programs are now part of theDirectorate for Technology, Innovation and Partnerships (TIP), which was recently launched to accelerate innovation and enhance economic competitiveness by catalyzing partnerships and investments that strengthen the links between fundamental research and technology development, deployment, and use.</t>
  </si>
  <si>
    <t>NSF Small Business Innovation Research  / Small Business Technology Transfer Phase II Programs</t>
  </si>
  <si>
    <t>Others (see text field entitled "Additional Information on Eligibility" for clarification) *Who May Submit Proposals: Proposals may only be submitted by the following:
  - ul type= 
 Proposers must submit their SBIR/STTR Phase II proposal within 6 to 24 months after the start date of their relevant NSF SBIR/STTR Phase I award.Please reference your NSF SBIR/STTR Phase I award notice for award start date.Note that this submission window is NOT extended by no-cost extensions. 
 Firms qualifying as a small business concern are eligible to participate in the NSF SBIR/STTR programs (seethe a href= Guide to SBIR/STTR Program Eligibility for more information). Please note that the size limit of 500 employeesincludes affiliates. The firm must be in compliance with the a href= SBIR/STTR Policy Directive and the a href= Code of Federal Regulations . For STTR proposals, the proposing small business concern must also include a partner research institution in the project, see additional details below. 
An organization whose Phase I award has been terminated by NSF will not be permitted to submit a Phase II proposal predicated on the terminated award. Similarly, an organization whose Phase I award has been suspended by NSF pending a potential investigation may not submit a Phase II proposal while the suspension persists. If the suspension lasts longer than the normal 24-month window to submit the Phase II proposal, and the Phase I award is later reinstated, NSF will provide additional time to complete the Phase I project and submit the Phase II proposal.
In compliance with the a href= CHIPS and Science Act of 2022 , Section 10636 (Person or entity of concern prohibition; 42 U.S.C. 19235): No person published on the list under section 1237(b) of the a href= Strom Thurmond National Defense Authorization Act for Fiscal Year 1999 (Public Law 105-261; 50 U.S.C. 1701 note) orentity identified under section 1260hof the a href= William M. (Mac) Thornberry National Defense Authorization Act for Fiscal Year 2021 a href= 10 U.S.C. 113 note a href= Public Law 116-283 ) may receive or participate in any grant, award, program, support, or other activity under the Directorate for Technology, Innovation, and Partnerships.
Individuals who are a current party to a Malign Foreign Talent Recruitment Program are not eligible to serve as a Senior/Key Person on an NSF proposal or on any NSF award made after May 20, 2024. See current PAPPG for additional information on required certifications associated with Malign Foreign Talent Organization. The Authorized Organizational Representative (AOR) must certify that all individuals identified as Senior/Key Personnel have been made aware of and have complied with their responsibility under that section to certify that the individual is not a party to a Malign Foreign Talent Recruitment Program.
The startup s or small business  Research and Development (R D) must be performed within the United States. Startups and small businesses funded by NSF must be majority U.S.-owned companies.
NSF does not fund proposals from companies that are majority-owned by one or more venture capital operating comp</t>
  </si>
  <si>
    <t>The NSF SBIR/STTR programs support moving scientific excellence and technological innovation from the lab to the market. By funding startups and small businesses, NSF helps build a strong national economy and stimulates the creation of novel products, services, and solutions in private, public, or government sectors with potential for broad impact; strengthens the role of small business in meeting federal research and development needs; increases the commercial application of federally supported research results; and develops and expands the US workforce, especially by fostering and encouraging participation by socially and economically disadvantaged and women-owned small businesses.
The NSF SBIR/STTR Phase II programs provide non-dilutive funding for thedevelopment of a broad range of technologiesbased on discoveries in science and engineeringwith potential for societal and economic impacts. Unlike fundamental or basic research activities that focus on scientific and engineering discovery itself, the NSF SBIR/STTR programs support the creation of opportunities to move use-inspired and translational discoveries out of the lab and into the market or other use at scale, through startups and small businesses.The NSF SBIR/STTR programs do not solicit specific technologies or procure goods and services. The funding provided is non-dilutive. Any invention conceived or reduced to practice with the assistance of SBIR/STTR funding is subject to the Bayh/Dole Act. For more information, refer to Frequently Asked Questions (FAQs), #75.
NSF encourages input and participation from the full spectrum of diverse talent that society has to offer which includes underrepresented and underserved communities.
NSF seeks unproven, leading-edge, technology innovations that demonstrate the following characteristics:
The innovations are underpinned and enabled by a new scientific discovery or meaningful engineering innovation.
The innovations still require intensive technical research and development to be fully embedded in a reliable product or service.
The innovations have not yet been reduced to practice by anyone and it is not guaranteed, at present, that doing so is technically possible.
The innovations provide a strong competitive advantage that are not easily replicable by competitors (even technically proficient ones).
Once reduced to practice, the innovations are expected to result in a product or service that would either be disruptive to existing markets or create new markets/new market segments.
The NSF SBIR/STTR programs focus on stimulating technical innovation from diverse entrepreneurs and start-ups and small businesses by translating new scientific and engineering concepts into products and services that can be scaled and commercialized into sustainable businesses with significant societal benefits. The program provides non-dilutive funding for research and development (R D) of use-inspired scientific and engineering activities for startups and small businesses. In Phase I, the emphasis is on de-risking those aspects preventing the innovation from reaching technical feasibility and driving the intended impact.In Phase II, R D continues, but the emphasis starts to shift away from research and to development challenges which, if solved, would result in new sustainable competitive advantages to allow the company to differentiate itself and drive new value propositions to the market and society.
This NSF program is governed by15 USC 638and the National Science Foundation Act of 1950, as amended (42 USC  1861, et seq.).
Introduction to the Program
The SBIR and STTR programs were established in 1982 as part of the Small Business Innovation Development Act. The NSF SBIR/STTR programs focus on stimulating technical innovation from diverse entrepreneurs and startups by translating new scientific and engineering discoveries emerging from the private sector, federal labs, and academia into products and services that can be scaled and commercialized into sustainable businesses with significant societal benefits.
The NSF SBIR/STTR programs are now part of theDirectorate for Technology, Innovation and Partnerships (TIP), which was recently launched to accelerate innovation and enhance economic competitiveness by catalyzing partnerships and investments that strengthen the links between fundamental research and technology development, deployment, and use.</t>
  </si>
  <si>
    <t>Gen-4 Engineering Research Centers</t>
  </si>
  <si>
    <t>Others (see text field entitled "Additional Information on Eligibility" for clarification) *Who May Submit Proposals: Proposals may only be submitted by the following:
  - 
Only U.S. Institutions of Higher Education (IHEs), also referred to in this solicitation as universities and academic institutions,accredited in, and having a campus located in the US, that grant engineering degrees at the undergraduate, masters, and doctoral engineering level may submit proposals as the lead university. The Lead university submits the proposal, and the award is made to the lead university. Support is provided to core partner universities and any affiliated faculty from other partner institutions through subawards. a id=  name=  href= 
 NSF welcomes proposal submissions that broaden geographic and demographic participation. Proposals from STEM-minority-serving institutions (STEM-MSI*), non-R1 schools, emerging research institutions, and IHEs in EPSCoR-eligible jurisdictions, as lead or core partners, as well as IHEs that primarily serve populations of students with disabilities or women in engineering interested in STEM, are encouraged. 
Invited full proposals must meet all the following organizational requirements or they will be returned without review:
 The Lead must be an Institution of Higher Education per the Carnegie Foundational Attribute: https://carnegieclassifications.acenet.edu/ 
 A proposed ERC must be multi-institutional, with a lead university and additional domestic university core partners. There is no maximum number of partner institutions. 
 To qualify as a core partner institution, there must be financial support for a minimum of three faculty participating in the ERC along with financial support for a minimum of three students (Postdoctoral scholars may not be included as students). 
 The lead or at least one of the core partner universities must be a STEM-MSI* university. 
 Commitments from lead and core partner universities for cost sharing must be in place. 
*For this solicitation  a href=  target= STEM-MSI  is definedby the Department of Education as institutions of higher education enrolling populations with significant percentages of undergraduate minority students, or that serve certain populations of minority students under various programs created by Congress.
Eligibility may be determined by reference to the  a href=  target= Integrated Postsecondary Education Data System (IPEDS)  of the US Department of Education National Center for Education Statistics (https://nces.ed.gov/ipeds/).
*Who May Serve as PI:
The Lead PI must be a faculty member at the Lead university. Non-Lead PIs are the co-PIs listed on the Cover Sheet after the Lead PI and may be from institutions other than the lead university. In order to provide more flexibility for the Center's management, the Lead PI and the ERC Director are not required to be the same person, however, both must be affiliated with the lead institution.</t>
  </si>
  <si>
    <t>Founded in 1984, the Engineering Research Centers (ERC) program brings technology-based industry and universities together in an effort to strengthen the competitive position of American industry in the global marketplace. These partnerships are expected to establish cross-disciplinary centers focused on advancing fundamental engineering knowledge and engineered systems technology while exposing students to the integrative aspects of engineered systems and industrial practice. The goal of the ERC program has traditionally been to integrate engineering research and education with technological innovation to transform and improve national prosperity, health, and security. Building upon this tradition, NSF is interested in supporting ERCs to develop and advance engineered systems, which if successful, will have a high Societal Impact. The ERC program supports convergent research (CR) that will lead to strong societal impact. Each ERC has interacting foundational components that go beyond the research project, including engineering workforce development (EWD) at all participant stages, where all participants gain mutual benefit, and value creation within an innovation ecosystem (IE) that will outlast the lifetime of the ERC. These foundational elements are integrated throughout ERC activities and in alignment with the Center's vision and targeted societal impact. The overall impact of the ERC program is expected within the Engineering Community, the Scientific Enterprise, and Society.</t>
  </si>
  <si>
    <t>Microsystems Technology Office (MTO) Office-wide</t>
  </si>
  <si>
    <t>DOD-DARPA-MTO</t>
  </si>
  <si>
    <t xml:space="preserve">DARPA - Microsystems Technology Office </t>
  </si>
  <si>
    <t>This announcement seeks revolutionary research ideas for topics not being addressed by ongoing MTO programs or other published solicitations.</t>
  </si>
  <si>
    <t>Mexico CDCS Annual Program Statement</t>
  </si>
  <si>
    <t>USAID-MEX</t>
  </si>
  <si>
    <t>Mexico USAID-Mexico City</t>
  </si>
  <si>
    <t>Pursuant to the Foreign Assistance Act of 1961, as amended, the United States Government, asrepresented by the U.S. Agency for International Development (USAID), Mexico Mission is announcing the Mexico CDCS Annual Program Statement (APS). Through this APS, USAID aims to obtain Concept Papers, request Full Applications, and issue awards to support the CDCS goal of â€œU.S.- Mexico Strategic Partnership Advanced to Promote Mutual Security and Prosperity.â€ In doing so, this APS aims to support the following three objectives: Development Objectives (DO) 1: Impunity and Violence Reduced in Targeted Regions and DO2: Advanced Transparent and Climate-Resilient Economic Growth, alongside potential projects that would address irregular migration and integration as it impacts Mexico.</t>
  </si>
  <si>
    <t>NPI Annual Program Statement (New Partnerships Initiative (NPI)/Conflict Prevention and Recovery Program (CPRP) Catalog of Federal Domestic Assistance)</t>
  </si>
  <si>
    <t>Others (see text field entitled "Additional Information on Eligibility" for clarification) Please see Section III of the NPI APS and Rounds published to this APS for eligibility information regarding organizations.</t>
  </si>
  <si>
    <t>The New Partnerships Initiative helps the Agency partner with new, nontraditional, and localpartners to advance their development goals by elevating local leadership, fostering equity1 andaccountability, and mobilizing resources across the Agencyâ€™s programs.Six principles guide our perspective on the partnerships that we wish to support:â— Promote local leadership. NPI works with local actors and traditional partners tostrengthen local and national systems in ways that advance locally led development.â— Improve equity and inclusivity within partner relationships. NPI proactively seeksopportunities to engage more equitably and increase inclusion in operations andprogramming, particularly for those communities that traditionally have beenoverlooked by USAID and other donor agenciesâ€”including faith-based organizations,minority-serving institutions, and diaspora communities.â— Demonstrate accountability to constituents. Recognizing that USAIDâ€™s work is â€œfrom theAmerican peopleâ€ to the people of the world, NPI emphasizes the need to be equallyaccountable to the people in the communities in which we work as well as to theAmerican taxpayer.â— Seek innovative approaches. NPI capitalizes on the full marketplace of ideas andsolutions by collaborating with partners from all sectors of society, while developingpartnerships that foster mutual accountability and develop local capacity.â— Lower barriers to partnerships. NPI identifies processes, norms, and regulations thatprohibit potential partnerships and finds ways to mitigate them while maintainingappropriate safeguards on taxpayer resources.â— Identify new and nontraditional sources of funding. NPI fosters partnerships thatleverage non-U.S. government funding sources to enhance local ownership and supporteffective collaboration across the spectrum of humanitarian and development funders.</t>
  </si>
  <si>
    <t>Cyberinfrastructure for Public Access and Open Science</t>
  </si>
  <si>
    <t>_x000D_
The Cyberinfrastructurefor Public Access and Open Science (CI PAOS) program within the Office of Advanced Cyberinfrastructure (OAC) aims to catalyze new and transformative socio-technical partnerships supporting research data infrastructure ecosystems across domainsthrough early-stage collaborative activities between cyberinfrastructure researchers, scientists, research computing experts, data management experts, research labs, university libraries, and other communities of practice.
_x000D_
_x000D_
_x000D_
The CI PAOS program supports the NSF Public Access Initiative byencouraging innovation across the CI ecosystem to address accessibility, discoverability, reliability, reproducibility, sustainability, and utility of data products in alignment with NSF and national goals for public access and open science [See: NSF Public Access Initiative, Office of Science and Technology Policy Memorandum on Ensuring Free, Immediate, and equitable Access to Federally funded Research, and Desirable Characteristics of Data Repositories for Federally Funded Research].CI PAOS builds on previous investments including those through Dear Colleague Letters NSF19-069,NSF20-068, NSF 23-018, and the FAIROS Research Coordination Networks (RCN)program solicitation (NSF 22-553).
_x000D_
_x000D_
_x000D_
NSF accepts proposals pursuant tothis Program Description year-round. From time to time, NSF may also issue Dear Colleague Letters to encourage proposals on special thematic interests and opportunities related to this program.
_x000D_
_x000D_
GUIDANCE TO POTENTIAL PROPOSERS
_x000D_
_x000D_
_x000D_
A primary feature of successful CI PAOS projects is a robust, synergistic collaborative team comprising skills from across communities of science/engineering, research data science, and information science discipline(s) and expertise in leveraging connections between cyberinfrastructure researchers and providers and data specialists. Leveraging international collaboration to build shared norms and address challenges related to developing and implementing PAOS policies and practices is encouraged. Research and education in science and engineering benefit immensely from international cooperation. Proposals with an international component are also welcome [See: International Collaborations Opportunities at NSF]. Proposers must target one or more of the following themes/pathways:Competency Building, Capability Building, and/or Community Building. 
_x000D_
_x000D_
_x000D_
Competency Building
_x000D_
_x000D_
_x000D_
Open science/engineering-driven collaboration. A socio-technical collaborative approach in addressing disciplinary, interdisciplinary, domestic, and international data lifecycle challenges is critical to informing and guiding the development of principles, requirements, and standardsof a CI ecosystem that fosters pipelines to good data management and pathways to access.Proposals should clearly describe the goals, challenges, and rationale for the proposed data science and engineering project and include an explanation of the potential for transformative research and broader impacts on the open science ecosystem [See: U.S. NSF Broader Impacts].Successful proposals will also clearly identify utilization science scenarios and use cases.
_x000D_
_x000D_
_x000D_
Capability Building
_x000D_
_x000D_
_x000D_
Exploratory and pilot activities.&lt;span class="TextRun SCXW92189242 BCX4" lang="EN-US" xml:lang="EN-US" d</t>
  </si>
  <si>
    <t>Funding Opportunity Announcement ONR STEM Program</t>
  </si>
  <si>
    <t>Others (see text field entitled "Additional Information on Eligibility" for clarification) Disclosures of current and pending support made in this application may render an applicant ineligible for funding. Prior to award and throughout the period of performance, DoD may continue to request updated continuing and pending support information, which will be reviewed and may result in discontinuation of funding. All responsible sources from academia, non-profit organization and industry (for-profit) organizations may submit applications under this FOA. Foreign entities will be considered. 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 Historically Black Colleges and Universities, Hispanic-serving institutions, Tribal Colleges or Universities, Alaska Native-serving institutions, Native-Hawaiian-serving institutions, Asian American and Native American Pacific Islander-serving institutions, Native American-serving nontribal institutions. Minority Institutions and covered educational institutions in 10 USC 2362 are especially encouraged to apply. 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 Navy laboratories, military universities, and warfare centers as well as other DoD and civilian agency laboratories are also not eligible to receive awards under this FOA and must not submit either white papers or applications in response to this FOA.University Affiliated Research Centers (UARC) are eligible to submit white papers and/or proposals under this FOA unless precluded from doing so by their DoD UARC contract.</t>
  </si>
  <si>
    <t xml:space="preserve">Disclosures of current and pending support made in this application may render an applicant ineligible for funding. Prior to award and throughout the period of performance, DoD may continue to request updated continuing and pending support information, which will be reviewed and may result in discontinuation of funding.All responsible sources from academia, non-profit organization and industry (for-profit) organizations may submit applications under this FOA. Foreign entities will be considered. 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 Historically Black Colleges and Universities, Hispanic-serving institutions, Tribal Colleges or Universities, Alaska Native-serving institutions, Native-Hawaiian-serving institutions, Asian American and Native American Pacific Islander-serving institutions, Native American-serving nontribal institutions, Minority Institutions and covered educational institutions in 10 USC 2362 are especially encouraged to apply.Federally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FFRDC.Navy laboratories, military universities, and warfare centers as well as other DoD and civilian agency laboratories are also not eligible to receive awards under this FOA and must not submit either white papers or applications in response to this FOA. University Affiliated Research Centers (UARC) are eligible to submit white papers and/or proposals under this FOA unless precluded from doing so by their DoD UARC contract. </t>
  </si>
  <si>
    <t>IUSE/Professional Formation of Engineers:  Revolutionizing Engineering Departments</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</si>
  <si>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For all tracks, the Principal Investigator (PI) must be a Department Chair/Head (or equivalent) of a department for whom a significant percentage of students will graduate or transfer to a program with a bachelor s degree in engineering or engineering technology. The PI must be empowered to provide leadership for the proposed change process. In cases where the institutional responsibilities of a Department Chair/Head do not enable them to support the degree of change being sought, a Dean, Provost, or other senior leader may serve as PI, provided they will be responsible for the active leadership of the RED project. The qualifications of the PI can be justified in the required letter from senior institutional leadership.
It is recommended that projects consider including individuals with expertise in (a) engineering education research and (b) organizational change on the leadership team.</t>
  </si>
  <si>
    <t>Revolutionizing Engineering Departments (hereinafter referred to as RED) is designed to build upon previous efforts in engineering education research. Specifically, previous and ongoing evaluations of the NSF Engineering Education and Centers Division program and its predecessors, as well as those related programs in the Directorate for STEM Education, have shown that prior investments have significantly improved the first year of engineering students  experiences, incorporating engineering material, active learning approaches, design instruction, and a broad introduction to professional skills and a sense of professional practice   giving students an idea of what it means to become an engineer. Similarly, the senior year has seen notable change through capstone design experiences, which ask students to synthesize the technical knowledge, skills, and abilities they have gained with professional capacities, using reflective judgment to make decisions and communicate these effectively. However, this ideal of the senior year has not yet been fully realized, because many of the competencies required in capstone design, or required of professional engineers, are only partially introduced in the first year and not carried forward with significant emphasis through the sophomore and junior years.
The Directorates for Engineering (ENG) and STEM Education (EDU) are funding projects as part of the RED program, in alignment with the Improving Undergraduate STEM Education (IUSE) framework and Professional Formation of Engineers (PFE) initiative. These projects are designing revolutionary new approaches to engineering education, ranging from changing the canon of engineering to fundamentally altering the way courses are structured to creating new departmental structures and educational collaborations with industry. A common thread across these projects is a focus on organizational and cultural change within the departments, involving students, faculty, staff, and industry in rethinking what it means to provide an engineering program.
In order to continue to catalyze revolutionary approaches, while expanding the reach of those that have proved efficacious in particular contexts, the RED program supports four tracks: RED Planning (Track 1), RED Adaptation and Implementation (Track 2), RED Innovation (Track 3), and RED Innovation Partnerships (Track 4). Two- and four-year institutions are encouraged to submit to any track as appropriate for their goals and context.
RED Planning (Track 1) projects will support capacity-building activities at institutions of special interest to NSF s mission, specifically two-year engineering-centered programs building transfer partnerships, two-year or four-year institutions in EPSCoR jurisdictions, Primarily Undergraduate Institutions (PUIs), and Institutions of Higher Education (IHEs)seeking to level the number of degrees acrossof the full spectrum of diverse talent in engineering. Planning projects should provide the support for such institutions to explore the development of a RED Projects in Tracks 2, 3,   4.
RED Adaptation and Implementation (Track 2) projects will adapt and implement evidence-based organizational change strategies and actions to the local context, which helps propagate this transformation of undergraduate engineering education.
RED Innovation (Track 3) projects will develop new, revolutionary approaches and change strategies that enable the transformation of undergraduate engineering education.
RED Innovation Partnerships (Track 4) projects will achieve the same goals as Track 3 projects across multiple institutions. Of particular interest to this track are projects partnering two-year institutions with other eligible institutions.
Projects in tracks 2, 3,   4 will include consideration of the cultural, organizational, structural, and pedagogical changes needed to transform one or more departments to ones in which students are engaged, develop their technical and professional skills, and establish identities as professional engineers or technologists. The focus of projects in these tracks should be on the department s disciplinary courses and program. RED project initiatives are expected to be institutionalized at the end of the funding period.
Proposals are especially encouraged that address areas of increased national interest including but not limited to advanced manufacturing, advanced wireless, artificial intelligence, biotechnology, microelectronics and semiconductors, net zero technologies, sustainability, systems engineering, and quantum engineering.</t>
  </si>
  <si>
    <t>Office of Naval Research Science and Technology for Advanced Manufacturing Projects (STAMP)</t>
  </si>
  <si>
    <t>Others (see text field entitled "Additional Information on Eligibility" for clarification) All responsible sources from academia, industry and the research community worldwide may submit proposals under this BAA. Historically Black Colleges and Universities_x000D_
(HBCUs) and Minority Institutions (MIs) are encouraged to submit proposals and join others in submitting proposals; however, no portion of this BAA will be set aside for_x000D_
HBCUs/MIs, small businesses or other socio-economic participation. _x000D_
_x000D_
All businesses, both small and large, are encouraged to submit proposals and compete for funding consideration._x000D_
_x000D_
Federally Funded Research   Development Centers (FFRDCs), including Department of Energy National Laboratories, are not eligible to receive awards under this BAA.</t>
  </si>
  <si>
    <t>All responsible sources from academia, industry and the research community worldwide may submit proposals under this BAA. Historically Black Colleges and Universities (HBCUs) and Minority Institutions (MIs) are encouraged to submit proposals and join others in submitting proposals; however, no portion of this BAA will be set aside for HBCUs/MIs, small businesses or other socio-economic participation. All businesses, both small and large, are encouraged to submit proposals and compete for funding consideration.Federally Funded Research   Development Centers (FFRDCs), including Department of Energy National Laboratories, are not eligible to receive awards under this BAA.However, teaming arrangements between FFRDCs and eligible principal Offerors are allowed so long as such arrangements are permitted under the sponsoring agreement between the Government and the specific FFRDC.Navy laboratories, military universities and warfare centers as well as other Department of Defense and civilian agency laboratories are also not eligible to receive awards under this BAA and should not directly submit either white papers or full proposals in response to this BAA. If any such organization is interested in one or more of the programs described herein, the organization should contact an appropriate ONR Technical POC to discuss its area of interest.University Affiliated Research Centers (UARCs) are eligible to submit proposals under this BAA unless precluded from doing so by their Department of Defense UARC contract.Teams are also encouraged and may submit proposals in any areas; however, Offerors must be willing to cooperate and exchange software, data and other information in an integrated program with other contractors, as well as with system integrators, selected by ONR.Disclosures of current and pending support made in this application may render an applicant ineligible for funding. Prior to award and throughout the period of performance,DoD may continue to request updated continuing and pending support information, which will be reviewed and may result in discontinuation of funding.</t>
  </si>
  <si>
    <t>U.S. Embassy Tbilisi PDS Cultural Small Grants Program</t>
  </si>
  <si>
    <t>DOS-GEO</t>
  </si>
  <si>
    <t>U.S. Mission to Georgia</t>
  </si>
  <si>
    <t>Others (see text field entitled "Additional Information on Eligibility" for clarification) The Public Affairs Section encourages applications from organizations within the U.S. and Georgia that are: 	Registered not-for-profit organizations, including think tanks and civil society/non-governmental organizations with programming experience. 	Non-profit or governmental educational institutions. 	Governmental Institutions. 	Legal Entities of Public Law.</t>
  </si>
  <si>
    <t xml:space="preserve">A. PROGRAM DESCRIPTION
 The U.S. Embassy Tbilisi Public Diplomacy Section (PDS) of the U.S. Department of State is pleased to announce that funding is available through its Public Diplomacy Cultural Small Grants Program. This is an Annual Program Statement, outlining our funding priorities, the strategic themes we focus on, and the procedures for submitting requests for funding. Please carefully follow all instructions below.
Purpose of Small Grants: PDS Tbilisi invites proposals for programs that strengthen cultural ties between the U.S. and Georgia through cultural and exchange programming that highlights shared values and promotes bilateral cooperation. All programs must include an American cultural element, or connection with American expert/s, organization/s, or institution/s in a specific field that will promote increased understanding of U.S. policy and perspectives.
Examples of PDS Cultural Small Grants Program programs include, but are not limited to:
Â· Academic and professional lectures, seminars, and speaker programs.
Â· Artistic and cultural workshops, joint performances, and exhibitions.
Â· Cultural heritage conservation and preservation programs.
Â· Professional and academic exchanges and programs.
Priority Program Areas:
Â· Strengthening democracy, culture, institutions, values, and civil society through arts, particularly with a U.S. connection, in the regions of Georgia.
Â· Community-based cultural (heritage) preservation projects, or projects to support community engagement around or with Georgiaâ€™s cultural heritage.
Â· International Festivals held in Georgia to foster closer U.S.- Georgian ties and share U.S. culture. 
Â· Sporting events and exchanges to foster closer U.S.- Georgian ties through sports, promote inclusive sports, foster healthy living, or advance other shared priorities. 
Participants and Audiences:
The U.S. Embassy seeks geographically and demographically diverse audiences within the country and prioritizes proposals with a significant programming component outside of the capital. The Embassy encourages projects to focus on engaging youth, women and girls, seniors, people with disabilities, regions with ethnic and religious minority communities, Internally Displaced Persons (IDPs), and other vulnerable communities.
The following types of programs are not eligible for funding:
Â· Programs relating to partisan political activity;
Â· Charitable or development activities;
Â· Construction programs;
Â· Programs that support specific religious activities;
Â· Fund-raising campaigns;
Â· Lobbying for specific legislation or programs;
Â· Scientific research;
Â· Programs intended primarily for the growth or institutional development of the organization; or
Â· Programs that duplicate existing programs.
Authorizing legislation, type, and year of funding:
19.040 Smith-Mundt, Public Diplomacy Funding, FY25
B. FEDERAL AWARD INFORMATION
Length of performance period: up to 12 months 
Number of awards anticipated: 15 awards (dependent on amounts)
Award amounts: awards may range from a minimum of $5,000 to a maximum of $24,000
Total available funding: $250,000
Type of Funding: Fiscal Year 2025 Public Diplomacy Funding
Anticipated program start date: four to six months after submission deadline
This notice is subject to availability of funding.
Funding Instrument Type: Grant, Fixed Amount Award, or Cooperative agreement. Cooperative agreements are different from grants in that PDS staff are more actively involved in the grant implementation.
Program Performance Period: Proposed programs should be completed in 12 months or less. 
PDS will entertain applications for continuation grants funded under these awards beyond the initial budget period on a non-competitive basis subject to the availability of funds, satisfactory progress of the program, and a determination that continued funding would be in the best interest of the U.S. Department of State.
C. ELIGILIBITY INFORMATION
1. Eligible Applicants
The Public Affairs Section encourages applications from organizations and individuals within the U.S. and Georgia that are:
Â· Registered not-for-profit organizations, including think tanks and civil society/non-governmental organizations with programming experience.
Â· Non-profit or governmental educational institutions.
 Governmental Institutions.
Â· Legal Entities of Public Law.
Â· Individuals
For-profit or commercial entities/educational institutions are not eligible to apply. </t>
  </si>
  <si>
    <t>Limited Competition: Physician Scientist Transition to Independence in Blood Science Research (R00 - Clinical Trial Optional)</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</si>
  <si>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</si>
  <si>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The purpose of the NHLBI Career Pathway to Independence in Blood Science Award for Physician Scientists (R00) is to increase and maintain a strong cohort of new and talented, NHLBI supported, independent investigators in blood science. This program is designed to facilitate a timely transition of outstanding blood science researchers with a clinical doctorate degree from mentored research positions to independent, tenure-track or equivalent faculty positions.
This NOFO offers the opportunity for current RFA-HL-20-001 or RFA-HL-20-002 K99 awardees to apply for the independent phase (R00) of the program. In the R00 phase, successful blood science physician scientist scholars will receive up to three years of funding to continue their research activity with support from this FOA, which will require updated research plans and a limited competition review.</t>
  </si>
  <si>
    <t>Mathematical Foundations of Digital Twins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</si>
  <si>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</si>
  <si>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The Division of Mathematical Sciences (DMS) in the Directorate for Mathematical and Physical Sciences (MPS) at the National Science Foundation (NSF) and the Air Force Office of Scientific Research (AFOSR) plan to jointly support foundational mathematical and statistical research on Digital Twins in applied sciences. Recent years have witnessed a significant increase in the demand and interest in applications that involve collaborative teams developing and analyzing Digital Twins to support decision making in various fields, including science, engineering, medicine, urban planning, and more. Both agencies recognize the need to promote research aiming to stimulate an interplay between mathematics/statistics/computation and practical applications in the realm of Digital Twins. This program encourages new collaborative efforts within the realm of Digital Twins, aiming at stimulating fundamental research innovation, pushing, and expanding the boundaries of knowledge, and exploring new frontiers in mathematics and computation for Digital Twin development, and its applications. By leveraging this synergy, the program aims to harness science, technology, and innovation to address some of our Society s most pressing challenges.</t>
  </si>
  <si>
    <t>Foundations for Digital Twins as Catalyzers of Biomedical Technological Innovation</t>
  </si>
  <si>
    <t>The Foundations for Digital Twins as Catalyzers of Biomedical Technological Innovation (FDT-BioTech) program supports inherently interdisciplinary research projects that underpin the mathematical and engineering foundations behind the development and use of digital twins and synthetic data in biomedical and healthcare applications, with a particular focus on digital, in silico models used in the evaluation of medical devices and the relevance of the developed models in addressing current and emerging challenges affecting the development and assessment of biomedical technologies. The goal of the FDT-BioTech initiative is to catalyze biomedical technological innovation through new foundational development of methods and algorithms relevant to digital twins and synthetic humans.</t>
  </si>
  <si>
    <t>Resilient Systems Office: Office-Wide Innovative Solutions Opening for Advanced Research Projects Agency for Health</t>
  </si>
  <si>
    <t>This ISO seeks solution summary and proposal submissions for projects that fall within the scope of the ARPA-H mission Resilient Systems Office (RSO). RSOâ€™s interest areas will address systemic challenges across the healthcare and public health landscape by investing in cutting-edge technologies that address long-standing gaps in the quality, efficacy, and consistent availability of care.Aspects of todayâ€™s health and public health systems remain fragile due to systemic challenges, which include rising healthcare costs, inadequate healthcare coverage for significant populations, outdated infrastructure, and health disparities among different demographic groups. Acute challenges, such as hospital closures, supply chain disruptions, staffing shortages, cyber-attacks, public health crises, and the emergence of new diseases, further exacerbate existing fragilities, making it more difficult to maintain high standards of care. These challenges are compounded by the fact that systems remain fragmented, hindering the ability to gain comprehensive insights, make informed decisions, develop tailored interventions, and share critical health information between stakeholders.RSO seeks solution summaries and proposals that drive innovations to enhance the adaptability, reliability, and interoperability of the health ecosystem. Of interest are innovations that foster flexibility and enable adaptation to system stressors, so that people and systems remain well-positioned to deliver high-quality care and improve health outcomes. The following interest areas categorize the ground-breaking research we seek to support:Sociotechnical System Innovation:â€¢ Innovate user-centric digital health tools, platforms, technologies, and intervention models that improve outcomes across the health continuum, including prevention, diagnosis, and treatment of physical, mental, and behavioral health.â€¢ Approaches to build trust in the healthcare system and distribute high-quality health guidance in an understandable manner that improves patient outcomes.â€¢ Novel real-time measurement tools to track health outcomes, evaluate post-market performance of new interventions, and enable convergence on the most effective strategies to improve the quality of care, especially for underserved communities.â€¢ Other population centered innovations to create more resilient communities and subpopulations. Innovations might include aggregate improvements to quality of care and better physical, mental, and behavioral health outcomes for the health ecosystem.Health Ecosystem Integration:â€¢ Novel ways to collect, protect, secure, integrate, analyze, communicate, and present health data, including but not limited to advances in privacy, cyber security, artificial intelligence with enhanced patient safety properties, low-code or no-code technologies, semantic approaches, and rapid integration techniques.â€¢ Strategies and technologies to leverage homes, community centers, pharmacies, and other accessible locations to enable new modalities of high-quality care, expand the reach of clinical research, or integrate end-user feedback to rapidly iterate prototype designs.â€¢ Approaches to strengthen the connectivity and interoperability of health data and devices to 5 enable the safe, secure, and seamless exchange of information among healthcare providers, researchers, and stakeholders.â€¢ Other novel approaches to increase the interoperability of health-related systems in support of improved health outcomes and enhanced transparency across the health ecosystem.Adaptive   Antifragile Solutions:â€¢ Creative approaches to enhance the stability and dependability of the health ecosystem through new adaptive paradigms, methods that anticipate and mitigate disruptions before they occur, and enhancements to emergency response.â€¢ Approaches that enable health infrastructure to rapidly integrate information from new sensors; create decision support tools; adapt supply chains, manufacturing, and logistics; and better leverage the workforce during public health emergencies.â€¢ Novel methods to engineer resilient tissues, microbiomes, and biophysical systems to combat disease or maintain health.â€¢ Other novel approaches to enhance adaptability and reduce fragility within the health ecosystem.Proposals are expected to use innovative approaches to enable revolutionary advances in science, technology, systems, or methodology. Specifically excluded are proposals that represent an evolutionary or incremental advance in the state of the art or technology that has reached the clinical trial stage. Additionally, proposals directed towards policy changes, traditional education and training, or center coordination, formation, or development, and construction of physical infrastructure are outside the scope of the ARPA-H mission</t>
  </si>
  <si>
    <t>Scalable Solutions Office: Office-Wide Innovative Solutions Opening for Advanced Research Projects Agency for Health</t>
  </si>
  <si>
    <t>This ISO seeks solution summaries and proposals for projects that fall within the general scope of the ARPA-H Scalable Solutions mission office. SSO expands what is technically possible by developing approaches that will leverage an interdisciplinary approach and collaborative networks to address challenges of geography, distribution, manufacturing, data and information, thereby improving health care access and affordability. In the United States, many communities and remote areas lack access to timely and quality health care, which leads to disparities in health outcomes for those populations. Bottlenecks during the manufacturing processes of products and health technologies also lead to delays and limited availability, preventing effective distribution of health care solutions to areas of need, especially in emergencies.ARPA-H SSO seeks solutions to improve the scalability and affordability of health care solutions, bridge gaps in underserved areas, and extend remote access to expertise by developing location-specific interventions, telemedicine solutions, and mobile health clinics. Solutions should focus on rapid innovation and the use of partnerships, as well as flexible distribution networks and streamlined manufacturing processes. The following SSO interest areas categorize the ground-breaking solutions we seek to support:Scalable Technologies and Interventions:â€¢ Approaches to improve affordability and equitable access to health care that are adaptable to various geographic, demographic, economic contexts and can be rapidly deployed at scale (e.g., drug-repurposing*, telemedicine, point-of-care diagnostics, and modular health care infrastructure).â€¢ Tailored solutions for the pediatric population that provide parity in access to treatments and other health care interventions with the adult population and adapt to the pediatric patientâ€™s changing physiology and developmental status over the course of years.â€¢ Transformational approaches to reduce or eliminate health disparities, including tools and models for product design and care delivery that scale novel approaches in human factors and human-centered design to respond to full diversity of patients.â€¢ Tools to enable the scaling of provider and institutional capabilities (e.g., school nurses and schools, walk-in clinics, homesteading care) to address unmet health care access needs and expand availability of critical services.â€¢ Foundational capabilities to accelerate diagnoses and reduce the cost of treatments for rare diseases wherever patients are, without the need for specialized facilities or healthcare expertise.* Solution summaries and proposals that focus on testing drugs for effectiveness for other disease states or use cases, are unlikely to be funded unless including additional R D, or providing gains in cost reduction, accessibility, and/or equity.Collaborative Distribution Networks:â€¢ Methods for standardization, automation, and democratization of complex procedures 5 including, but not limited to, histopathology, rare disease diagnosis and treatment, and surgical interventions to ensure access and delivery to populations diverse in demographics, geographies, and resources at scale.â€¢ Approaches to enhance delivery of effective healthcare solutions in rural or low resource settings, including but not limited to "last mile deliveryâ€, at-home monitoring, imaging, drug delivery, telehealth augmentation, and support for remote medical procedures with limited need for specialized training.â€¢ Technologies to enable the deployment of critical healthcare resources rapidly, equitably, and securely at scale to the point of need in permissive and non-permissive (i.e., damaged infrastructure, cyber-denied) environments during a public health crisis or natural disaster.â€¢ Solutions to scale education and training of critical healthcare resources for health care providers and patients to ensure information integrity to prevent negative impacts to resource use/uptake.â€¢ Innovative information technology, data and analytic products and technologies to enable ordering, inventory management, situational awareness, allocation planning and demand forecasting of critical healthcare resources during a public health crisis or natural disaster.Biomanufacturing Innovations*:â€¢ Innovative manufacturing technologies and approaches that reduce cost, shorten the timeline for production, advance domestic competitiveness and reduce supply chain risk of biologics, cellular and gene therapies, pharmaceuticals, medical devices and personal protective equipment.â€¢ New approaches to support predictable, programable biological production of conventional and novel materials reliability at scale in a cost-effective sustainable manner.â€¢ Novel solutions to reduce the reliance on specialized handling and cold chain management of pharmaceuticals and biologics.â€¢ Scalable innovations to advance and strengthen biomanufacturing supply chain and resolve bottlenecks including:o Advances in production of active pharmaceutical ingredients, process consumables, and other critical materials (i.e., enzymes, cell lines, etc);o Novel biomanufacturing-related data products, technologies or models to integrate into supply chain situational awareness systems;o Alternative materials and new manufacturing capabilities for personal protective equipment; ando Improvement of capabilities sustainably re-shore manufacturing and utilize a broad array of readily accessible and cost-efficient feedstocks as part of strengthening the local and national industry base.â€¢ Analytics and novel sensor systems to precisely manage bioproduction, real-time release assays, and predictive capabilities to inform tuning of biological chassis for efficient and effective scale-up of manufacturing to industrial scale.*ARPA-H is not interested in approaches that merely increase capacity reservation.Other high-quality submissions that propose revolutionary technologies that meet the goals of SSO will be considered even if they do not address the topics listed above.Proposals are expected to use innovative approaches to enable revolutionary advances in medicine and healthcare, and the science and technology underlying these areas. While approaches that are disease agnostic are encouraged, ARPA-H welcomes proposals that bring radically new insights to address specific diseases including, but not limited to, cancer, diabetes, neurological diseases, pediatric and maternal/fetal health, infectious diseases, and cardiovascular disease.Specifically excluded are proposals that represent an evolutionary or incremental advance in the current state of the art or technology that has reached the clinical trial stage. An example of this type of proposal might include the request to fund clinical trials of an otherwise developed product. Additionally, proposals directed towards policy changes, traditional education and training, or center coordination, formation, or development, and construction of physical infrastructure are outside the scope of the ARPA-H mission.</t>
  </si>
  <si>
    <t>Health Science Futures: Office-Wide Innovative Solutions Opening for Advanced Research Projects Agency for Health</t>
  </si>
  <si>
    <t xml:space="preserve">Native American tribal organizations (other than Federally recognized tribal governments) </t>
  </si>
  <si>
    <t xml:space="preserve">This ISO seeks solution summaries and proposal submissions for projects that fall within the general scope of the ARPA-H Health Science Futures (HSF) mission office. HSF expands what is technically possible by developing approaches that will remove the scientific and technological limitations that stymie progress towards the healthcare of the future. HSF supports cutting-edge, often disease-agnostic research programs that have the potential for translational real-world change.Considering the current healthcare challenges that we face today, the goal of achieving better health outcomes is a moving target that requires daring and adaptable solutions. HSF awardees will develop innovative technologies, tools, and platforms that can be applied to a broad range of diseases. The following interest areas define the ground-breaking research we seek to support:Breakthrough Technologies: Paradigm shifting technologies that will change how we approach the diagnosis, treatment, and impact of diseases and conditions. â€¢ Novel approaches to improve maternal and fetal medicine, decrease maternal morbidity and mortality during birth, and the post-partum period. Efforts should include new technology to monitor, detect, and/or treat maternal and/or fetal complications with less invasive and traumatic methods.â€¢ Foundational advances in genetic, epigenetic, cellular, tissue, and organ replacement therapies that enable personalized medical interventions at scale in a manner that is accessible, cost-effective, and designed to impact the communities of greatest need.â€¢ Interventions that target and reverse disease pathogenesis and/or enhance plasticity to address diseases of the nervous, neuromuscular, skeletal, lymphatic, cardiovascular, and other organ systems.â€¢ Novel approaches to diagnose and treat diseases of the lymphatic system, particularly rare diseases, with a focus on the effects of genetic expression in the lymphatic system and/or models demonstrating the relationship between lymphatic dysfunction and health and disease.Transformative Tools: Novel, agile solutions that will move from bench to bedside quickly, facilitating revolutionary advances in medical care.â€¢ Development of tools that counter idiosyncratic, off-target, or chronic effects of medicines that are commonly used or that are being used experimentally to treat or prevent disease.â€¢ Development of bionics to restore sight, hearing, taste, or smell.â€¢ Site-selective neuromodulation to regulate specific physiological functions and treat chronic health conditions such as inflammation, pain, and metabolic or endocrine disorders.â€¢ Synthetic biology approaches to diagnosing, treating, and/or curing a multitude of diseases.â€¢ Novel physics and/or chemistry-based approaches to improve imaging that reduces cost, increases availability, expands capability, improves resolution, reduces exposure to radiation, and accommodates pediatric patient populations.â€¢ Integrated sensing and delivery devices for treating and diagnosing chronic health conditions, including mental health conditions or substance use disorders.â€¢ Miniaturization of complex hardware to enable broader access to pediatric and other patient populations, as well as portability, such as diagnostic, treatment, imaging, or other devices.Platform Systems: Adaptable, multi-application systems and technologies that are reconfigurable for a wide variety of clinical needsâ€¢ Novel molecular platform approaches, including the modulation of host systems, delivery to targets with spatial and temporal precision, and mitigation of off-target effects to accelerate interventions that dramatically improve health outcomes.â€¢ New approaches to accelerate and routinize mammalian and microbial cellular engineering to enable next generation therapeutic applications, develop multiscale interventions, and automate hypothesis generation and discovery to expand those applications to disease states in which cellular therapies have not traditionally been employed.â€¢ Innovative approaches at the intersection of artificial intelligence, high performance computing (including quantum computing) and biological systems, including enabling de novo design of biomolecules with entirely new phenotypes.Other high-quality submissions that propose revolutionary technologies that meet the goals of HSF will be considered even if they do not address the topics listed above.Proposals are expected to use innovative approaches to enable revolutionary advances in medicine and healthcare, and the science and technology underlying these areas. While approaches that are disease agnostic are encouraged, ARPA-H welcomes proposals that bring radically new insights to address specific diseases including, but not limited to, cancer, diabetes, neurological diseases, pediatric and maternal/fetal health, infectious diseases, and cardiovascular disease.Specifically excluded are proposals that represent an evolutionary or incremental advance in the current state of the art or technology that has reached the clinical trial stage. An example of this type of proposal might include the request to fund clinical trials of an otherwise developed product. Additionally, proposals directed towards policy changes, traditional education and training, or center coordination, formation, or development, and construction of physical infrastructure are outside the scope of the ARPA-H mission. </t>
  </si>
  <si>
    <t>Proactive Health Office: Office-Wide Innovative Solutions Opening for Advanced Research Projects Agency for Health</t>
  </si>
  <si>
    <t xml:space="preserve">Despite huge advances in the development of novel medical therapies, Americans still live with poor health outcomes and suffer from the ill-effects of disease. Current medical research and the medical delivery system in the United States focus primarily on the reactive treatment of illnesses, despite the fact that many diseases or their ill-effects are preventable.The Proactive Health Office (PHO) at ARPA-H is seeking solutions to improve the healthspan and health outcomes of Americans prior to the onset of disease and/or the development of diminished quality of life from illness. Specifically, PHO hypothesizes that 1) population-level improvements in access to and uptake of disease prevention and wellness-promoting behaviors and 2) development of novel early-detection methods and prophylactic interventions could drastically improve the health of American throughout their lives, and 3) that system level innovations are required for delivery of proactive health effectively. Specific PHO interest areas include:Novel prevention, detection and prophylactic treatment methods for disease:â€¢ Novel and scalable methods for early detection of disease and illness including the use of low/no-cost sensing modalities.â€¢ Prophylactic approaches to prevention of diseases and harmful disease outcomes.â€¢ Methods for continuous and widespread sensing of health state and early disease indicators that can be deployed at population-scale.Population-level approaches to increase the adoption of prevention and wellness behaviors: â€¢ Early indicators of disease and pre-disease states and measures associated with proactive health outcomes that are both inexpensive and effective. Low-cost, high-uptake mental health resiliency and mindfulness building methods for individuals.â€¢ Methods to inform and educate individuals about healthy behaviors including lifestyle and preventative medical measures.â€¢ Methods that incentivize individuals to adopt and maintain healthy behaviors.â€¢ Novel approaches to increasing individual healthspan and independence even in the absence of disease.System innovation for the delivery of proactive health outcomes: â€¢ Novel, robust and predictive surrogates for long-term health outcomes with associated epidemiological models.â€¢ Valuation models for long-term treatment effects for vaccination, screening and other public health interventions.â€¢ New funding and delivery models for preventative intervention.Other high-quality submissions that propose revolutionary technologies that meet the goals of PHO will be considered even if they do not address the topics listed above.Proposals are expected to use innovative approaches to enable revolutionary advances in medicine and healthcare, and the science and technology underlying these areas. While approaches that are disease agnostic are encouraged, ARPA-H welcomes proposals that bring radically new insights to address specific diseases including, but not limited to, cancer, diabetes, neurological diseases, pediatric and maternal/fetal health, infectious diseases, and cardiovascular disease.Specifically excluded are proposals that represent an evolutionary or incremental advance in the current state of the art or technology that has reached the clinical trial stage. An example of this type of proposal might include the request to fund clinical trials of an otherwise developed product. Additionally, proposals directed towards policy advocacy, traditional education and training, or center coordination, formation, or development, and construction of physical infrastructure are outside the scope of the ARPA-H mission. </t>
  </si>
  <si>
    <t>Improving Undergraduate STEM Education: Computing in Undergraduate Education</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</si>
  <si>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-State and Local Governments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</si>
  <si>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The Improving Undergraduate STEM Education:Computing in Undergraduate Education (IUSE: CUE) program aims to better prepare a wider, more diverse range of students to collaboratively use computation across a range of contexts and challenging problems. With this solicitation, the National Science Foundation focuses onre-envisioninghow to teach computing effectivelyto a broad group of students,in a scalable manner, with an emphasis on broadening participation of groups who are underrepresented andunderservedby traditional computing courses and careers.</t>
  </si>
  <si>
    <t>NRL Long Range Broad Agency Announcement (BAA) for Basic and Applied Research</t>
  </si>
  <si>
    <t>DOD-ONR-NRL</t>
  </si>
  <si>
    <t>Naval Research Laboratory</t>
  </si>
  <si>
    <t>Amendment 0001The purpose of this amendment is to extend the due date for acceptance of White Papers. All other terms and conditions remain unchanged.--------------------------------------------------------------The Naval Research Laboratory is interested in receiving innovative proposals that offer potential for advancement and improvement in the technical topic areas listed. This notice constitutes a Broad Agency Announcement (BAA) as contemplated in FAR 6.302(d) that provides for the competitive selection of research proposals. The Government reserves the right to select for award all, some, or none of the proposals received. Awards under this BAA are expected to take the form of Contracts, Grants, Cooperative Agreements and Other Transactions may also be awarded if appropriate. NRL encourages Educational Institutions, Small Businesses (SBs), Small Disadvantaged Business Concerns (SDBs) and Historically Black Colleges and Universities (HBCUs) and Minority Institutions (MIs) to submit proposals under this BAA.In order to conserve valuable offeror and Government resources, prospective offerors shall first submit a White Paper (WP) to the email address identified in the individual Summary Topics contained in Appendix 1, to include a rough cost estimate. If there is interest in the proposed research the offeror will be invited to submit a Formal Proposal. The selection of proposals for award will be based on a scientific review of proposals submitted in response to each BAA Summary Topic. The major purpose of the evaluation will be to determine the relative merit of the technical approach of each proposal. Business and contractual aspects, including proposed cost and cost realism, will also be considered as part of the evaluation. Selection of proposals for award will be based on the potential benefits to the Government weighed against the cost of the proposals, in view of the availability of funds. The complete BAA including proposal preparation instructions, award considerations, and evaluation criteria is also available at https://www.nrl.navy.mil/Doing-Business/Contracts/Broad-Agency-Announcements/ .</t>
  </si>
  <si>
    <t>Division of Integrative Organismal Systems Core Programs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</si>
  <si>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</si>
  <si>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The Division of Integrative Organismal Systems (IOS) Core Programs Track supports research to understand why organisms are structured the way they are and function as they do. Proposals are welcomed in all of the core scientific program areas supported by the Division of Integrative Organismal Systems (IOS). Areas of inquiry include, but are not limited to, developmental biology and the evolution of developmental processes, development, structure, modification, function, and evolution of the nervous system, biomechanics and functional morphology, physiological processes, symbioses and microbial interactions, interactions of organisms with biotic and abiotic environments,plant and animal genomics, and animal behavior. Proposals should focus on organisms as a fundamental unit of biological organization. Principal Investigators are encouraged to apply systems approaches that will lead to conceptual and theoretical insights and predictions about emergent organismal properties.
_x000D_
The IntBIOTrackinvites submission of collaborative proposals totackle bold questions in biology thatrequire an integrated approach to make substantive progress. Integrative biological research spans subdisciplines and incorporates cutting-edge methods, tools, and concepts from each to produce groundbreaking biological discovery that is synergistic, such that the whole is greater than the sum of the parts. The research should produce a novel, holistic understanding of how biological systems function and interact across different scales of organization, e.g., from molecules to cells, tissues to organisms, species to ecosystems and the entire Earth.Where appropriate, projects should apply experimental strategies, modeling, integrative analysis, advanced computation, or other research approaches to stimulate new discovery and general theory in biology.</t>
  </si>
  <si>
    <t>Plant Genome Research Program</t>
  </si>
  <si>
    <t xml:space="preserve">_x000D_
The Plant Genome Research Program (PGRP) supports genome-scale research that addresses challenging questions of biological, societal and economic importance. PGRP encourages the development of innovative tools, technologies, and resources that empower a broad plant research community to answer scientific questions on a genome-wide scale. Emphasis is placed on the scale and depth of the question being addressed and the creativity of the approach. Data produced by plant genomics should be usable, accessible, integrated across scales, and of high impact across biology. Training, broadening participation, and career development are essential to scientific progress and should be integrated in all PGRP-funded projects.
_x000D_
Two funding tracks are currently available:
_x000D_
_x000D_
RESEARCH-PGR TRACK: Genome-scale plant research to address fundamental questions in biology, including processes of economic and/or societal importance._x000D_
TRTech-PGR TRACK: Tools, resources, and technology breakthroughs that further enable functional plant genomics._x000D_
</t>
  </si>
  <si>
    <t>Division of Environmental Biology</t>
  </si>
  <si>
    <t>The Division of Environmental Biology (DEB) Coresupports research and training on evolutionary and ecological processes acting at the level of populations, species, communities, ecosystems, macrosystems, and biogeographic extents. DEB encourages research that elucidates fundamental principles that identify and explain the unity and diversity of life and its interactions with the environment over space and time. Research may incorporate field, laboratory, or collection-based approaches; observational or manipulative studies; synthesis activities; phylogenetic discovery projects; or theoretical approaches involving analytical, statistical, or computational modeling. Proposals should be submitted to the core clusters (Ecosystem Science, Evolutionary Processes, Population and Community Ecology, and Systematics and Biodiversity Science). DEB also encourages interdisciplinary proposals that cross conceptual boundaries and integrate over levels of biological organization or across multiple spatial and temporal scales.Research addressing ecology and ecosystem science in the marine biome should be directed to the Biological Oceanography Program in the Division of Ocean Sciences; research addressing evolution and systematics in the marine biome should be directed to the Evolutionary Processes or Systematics and Biodiversity Science programs in DEB.
_x000D_
All programs in the Directorate for Biological Sciences strive to achieve the goals laid out in theNSF Strategic Plan. Among these goals are: (i) to empower Science Technology, Engineering, and Mathematics (STEM) talent to fully participate in science and engineering; (ii) to enable creation of new knowledge by advancing the frontiers of research and enhancing research capability; and (iii) to benefit society through translation of knowledge into solutions.In line with these goals,DEB welcomes the submission of proposals to this funding opportunity that include the participation of the full spectrum of diverse talent in STEM, e.g., as PI, co-PI, senior personnel, postdoctoral scholars, graduate or undergraduate students or trainees. This includes historically under-represented or underserved populations, diverse institutions including Minority Serving Institutions (MSIs), Primarily Undergraduate Institutions (PUIs), and two-year colleges, as well as major research institutions. Proposals from EPSCoR jurisdictions are especially encouraged.
_x000D_
Also aligned with the NSF Strategic Plan, DEB encouragessubmission of proposals in support of discovery-based explorations, as well as use-inspired, solutions-focused research, including proposals that address priority areas associated with building a resilient planet and biotechnology and the bioeconomy. Someexamples of topics that address priority areas associated with building a resilient planet and biotechnology and the bioeconomy can be found in thelife on a warming planetandbioeconomymetaprogram descriptions. TheCHIPs Act of 2022and theExecutive Order on Advancing Biotechnology and Biomanufacturing Innovation for a Sustainable, Safe and Secure American Bioeconomyhighlight the importance of these two areas with respect to safeguarding national security and promoting prosperity. DEB also strongly encourages proposals that leverage NSF resources that facilitate integration across the biological sciences, such as the National Ecological Observatory Network (NEON), data networks, synthesis centers, and institutes.</t>
  </si>
  <si>
    <t>ROSES 2024: B.15 Heliophysics Innovation in Technology and Science</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</si>
  <si>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</si>
  <si>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Established Program to Stimulate Competitive Research (EPSCoR):  Workshop Opportunities</t>
  </si>
  <si>
    <t xml:space="preserve">Others (see text field entitled "Additional Information on Eligibility" for clarification) *Who May Submit Proposals: Proposals may only be submitted by the following:
  -
Proposals may be submittedonly from institutions or organizations within EPSCoR-eligible jurisdictions.Eligibility to participate in the EPSCoR Workshop Opportunities program is described on a href= s website .
_x000D_
Within EPSCoR-eligible jurisdictions, proposals may be submitted only by the following:
_x000D_
 _x000D_
 Institutions of higher education (PhD-granting and non-PhD-granting), acting on behalf of their faculty members, that are accredited in and have a campus in the United States, its territories, or possessions. _x000D_
 Non-profit, non-degree-granting domestic U.S. organizations, acting on behalf of their employees, that include (but are not limited to) independent museums and science centers, observatories, research laboratories, professional societies, and similar organizations that are directly associated with the Nation's research or educational activities. These organizations must have an independent, permanent administrative organization (e.g., an office of sponsored research) located in the United States, its territories, or possessions, and have 501(c)(3) tax status. _x000D_
 Tribal Nations: An American Indian or Alaska Native tribe, band, nation, pueblo, village, or community that the Secretary of the Interior acknowledges as a federally recognized tribe pursuant to the Federally Recognized Indian Tribe List Act of 1994, 25 U.S.C.   5130-5131. _x000D_
 </t>
  </si>
  <si>
    <t>The Established Program to Stimulate Competitive Research (EPSCoR) is designed to fulfill the mandate of the National Science Foundation (NSF) to promote scientific progress nationwide. NSF EPSCoR facilitates the establishment of partnerships among academic institutions, government, industry, and non-profit sectors that are designed to promote sustainable improvements in an EPSCoR-eligible jurisdiction s research infrastructure, Research and Development (R D) capacity, and R D competitiveness. Eligibility to participate in NSF EPSCoR funding opportunities, including the EPSCoR Workshop Opportunities program, is described on the EPSCoR website (see criteria for eligibility link).
_x000D_
EPSCoR welcomes proposals for workshops only from institutions within EPSCoR-eligible jurisdictions (i.e. states, territories, commonwealths). These workshops must focus on innovative ways to address multi-jurisdictional efforts on themes of regional or national importance with relevance to the goals and mission of NSF and EPSCoR.</t>
  </si>
  <si>
    <t>Division of Molecular and Cellular Biosciences Core Programs</t>
  </si>
  <si>
    <t>MCB supports research that promises to uncover the fundamental properties of living systems across atomic, molecular, subcellular, and cellular scales. The program gives high priority to projects that advance mechanistic understanding of the structure, function, and evolution of molecular, subcellular, and cellular systems, especially research that aims at quantitative and predictive knowledge of complex behavior and emergent properties. MCB encourages research exploring new concepts in molecular and cellular biology, while incorporating insights and approaches from other scientific disciplines, such as chemistry, computer science, engineering, mathematics, and physics, to illuminate principles that govern life at the molecular and cellular level. MCB also encourages research that exploits experimental and theoretical approaches and utilizes a diverse spectrum of model and non-model animals, plants, and microbes across the tree of life. Proposals that pursue potentially transformative ideas are welcome, even if these entail higher risk.
_x000D_
This solicitation calls for proposals in research areas supported by the four MCB core clusters, including: (i) structure, dynamics, and function of biomolecules and supramolecular assemblies, especially under physiological conditions (Molecular Biophysics); (ii) organization, processing, expression, regulation, and evolution of genetic and epigenetic information (Genetic Mechanisms); (iii) cellular structure, properties, and function across broad spatiotemporal scales (Cellular Dynamics and Function); and (iv) systems and/or synthetic biology to study complex interactions through modeling or manipulation or design of living systems at the molecular-to-cellular scale (Systems and Synthetic Biology). All MCB clusters prioritize projects that integrate across scales, investigate molecular and cellular evolution, synergize experimental research with computational or mathematical modeling, and/or develop innovative, broadly applicable methods and technologies. Projects that bridge the intellectual edges between MCB clusters are welcome. Projects that integrate molecular and cellular biosciences with other subdisciplines of biology are also welcome through the new Integrative Research in Biology (IntBIO) track.
_x000D_
All programs in the Directorate for Biological Sciences striveto achieve key goals laid out in the NSF Strategic Plan. Among these goals are: (i) to empower Science Technology, Engineering, and Mathematics (STEM) talent to fully participate in science and engineering; (ii) to enable creation of new knowledge by advancing the frontiers of research and enhancing research capability; and (iii) to benefit society through translation of knowledge into solutions. In line with these goals, MCB welcomes the submission of proposals to this funding opportunity that include the participation of the full spectrum of diverse talent in STEM, e.g., as PI, co-PI, senior personnel, postdoctoral scholars, graduate or undergraduate students or trainees.  This includes historically under-represented or underserved populations, diverse institutions including Minority Serving Institutions (MSIs), Primarily Undergraduate Institutions (PUIs), and two-year colleges, as well as major research institutions. Proposals from EPSCoR jurisdictions are especially encouraged.MCB has a new track in this solicitation, EXPAND MCB in EPSCoR, that welcomes proposals that build capacity through collaborations led by organizations in EPSCoR jurisdictions.
_x000D_
Also aligned with the NSF Strategic Plan, MCB encourages submission of proposals in support of discovery-based explorations, as well as use-inspired, solutions-focused research, including proposals that address priority areas associated with building a resilient planet and biotechnology and the bioeconomy. Some examples of topics that address priority areas associated with building a resilient planet and biotechnology and the bioeconomy can be found in the life on a warming planet and bioeconomy metaprogram descriptions. The CHIPs Act of 2022 and the Executive Order on Advancing Biotechnology and Biomanufacturing Innovation for a Sustainable, Safe and Secure American Bioeconomy highlight the importance of these two areas with respect to safeguarding national security and promoting prosperity. MCB also strongly encourages proposals that leverage NSF resources to facilitate integration across the biological sciences, such as the National Ecological Observatory Network (NEON), data networks, synthesis centers, and institutes.
_x000D_
Regarding health-related challenges, NSF supports basic research in all areas of the biological sciences and recognizes that this foundational research is likely to impact many different areas, including human health. MCB celebrates all the biological science discoveries funded through MCB awards that have had major impacts on health, environment, energy, food production, and other applications. Nevertheless, research focused exclusively on understanding human diseases and their treatment is normally outside of the scope offunding and will be returned without review unless that research significantly advances other fields such as engineering, computer science, or the mathematical and physical sciences.</t>
  </si>
  <si>
    <t>ROSES 2024: C.24 Here to Observe</t>
  </si>
  <si>
    <t>ROSES 2024: F.14 High Priority Open-Source Science</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</si>
  <si>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</si>
  <si>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C.6 Solar System Observations</t>
  </si>
  <si>
    <t>ROSES 2024: A.26 Rapid Response and Novel Research in Earth Science</t>
  </si>
  <si>
    <t>ROSES 2024: F.8 Supplements for Open-Source Science</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</si>
  <si>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</si>
  <si>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C.3 Solar System Workings</t>
  </si>
  <si>
    <t>ROSES 2024: C.12 Planetary Instrument Concepts for the Advancement of Solar System Observations</t>
  </si>
  <si>
    <t>ROSES 2024: C.2 Emerging Worlds</t>
  </si>
  <si>
    <t>ROSES 2024: C.16 Laboratory Analysis of Returned Samples</t>
  </si>
  <si>
    <t>ROSES 2024: C.4 Planetary Data Archiving, Restoration, and Tools</t>
  </si>
  <si>
    <t>ROSES 2024: C.5 Exobiology</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</si>
  <si>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</si>
  <si>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Research Opportunities in Space and Earth Science</t>
  </si>
  <si>
    <t>NOTICE: Amended October 1, 2024. This amendment announces several changes to the ROSES-24 Summary of Solicitation, mostly because of the update to 2 CFR 200 that takes effect starting today, October 1, 2024. Please see the amended ROSES-24 Summary of Solicitation posted under "Announcement Documents" on NSPIRES. 
The National Aeronautics and Space Administration (NASA) Science Mission Directorate (SMD) announces that its annual NASA Research Announcement (NRA), Research Opportunities in Space and Earth Sciences (ROSES) â€“ 2024 (OMB Approval Number 2700-0092) has been released on February 14, 2024. ROSES is an omnibus NRA, with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Organizations of every type, domestic and foreign, Government and private, for profit and not-for-profit, may submit proposals without restriction on teaming arrangements. Note that it is NASA policy that all research involving non-U.S. organizations will be conducted on the basis of no exchange of funds. This ROSES-2024 NRA will be available on its release or about February 14, 2024, at http://solicitation.nasaprs.com/ROSES2024. Tables 2 and 3 of this NRA, which will be posted at http://solicitation.nasaprs.com/ROSES2024table2 and http://solicitation.nasaprs.com/ROSES2024table3, respectively, provide proposal due dates and hypertext links to descriptions of the solicited program elements in the Appendices of this NRA. To learn of additional new program elements or amendments to this NRA, proposers should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https://science.nasa.gov/researchers/sara/library-and-useful-links (link from the words due date calendar). Frequently asked questions about ROSES-2024 will be posted at http://science.nasa.gov/researchers/sara/faqs/. Further information about specific program elements may be obtained, after the release of ROSES-2024, from the individual Program Officers listed in the Summary of Key Information at the end of each program element of ROSES-2024 and at: http://science.nasa.gov/researchers/sara/program-officers-list/. Questions concerning general ROSES-2023 policies and procedures may be directed to Max Bernstein, Lead for Research, Science Mission Directorate, at sara@nasa.gov.</t>
  </si>
  <si>
    <t>ROSES 2024: D.14 Nancy Grace Roman Space Telescope Research and Support Participation Opportunities</t>
  </si>
  <si>
    <t xml:space="preserve">NOTICE: Amended November 26, 2024. This amendment releases the final text for this program element that was previously released as draft for community comment. A Notice of Intent is ardently requested by Friday, January 17, 2025 via NSPIRES, and proposals are due on Thursday, March 6, 2025. 
ï»¿Proposers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</si>
  <si>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B.20 Heliophysics Tools and Methods</t>
  </si>
  <si>
    <t xml:space="preserve">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</si>
  <si>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D.7 Strategic Astrophysics Technology</t>
  </si>
  <si>
    <t xml:space="preserve">NOTICE: Amended January 16, 2025. The proposal due date for this program has been deferred to February 21, 2025.  
ï»¿NOTICE: Amended November 7, 2024. This amendment makes several changes, summarized below. Other clarifications or corrections have also been made throughout. New text is in bold and deleted text is struck through. A Notice of Intent to propose is no longer mandatory, see Section 1.4; The anticipated budget has been reduced to $5M for the first year of new selections; Technology readiness level definitions have been clarified (Section 1.1); updates have been made to exclusions (Section 1.3); the frequency of reporting for PhysCOS/COR has increased (Section 2.2); and various small updates and have been made throughout. Proposers are encouraged to use the NASA Grant Policy templates for Biographical Sketch (no page limit) and current and pending support that were released 10/1/24. For more information see the amended ROSES-24 Summary of Solicitation under Announcement Documents on the right side of this NSPIRES page. The proposal due date remains unchanged: proposals are due January 30, 2025. NASA is currently not planning to solicit this program element in ROSES-2025. 
PLEASE NOTE: this program has Notices of Intent, which are due via NSPIRES by December 13,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</si>
  <si>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D.8 Nancy Grace Roman Technology Fellowships in Space Astrophysics for Early Career Researchers</t>
  </si>
  <si>
    <t xml:space="preserve">NOTICE: Amended January 16, 2025. The proposal due date for this program has been deferred to February 21, 2025.  
ï»¿NOTICE: Amended November 7, 2024. The page length for the fellowship application has been increased to two pages and the Evaluation Criteria for Fellowship have been expanded and clarified, see Section 2. New text is in bold and deleted text is struck through. 
PLEASE NOTE: this program has (MANDATORY - for APRA, no longer mandatory for SAT) Notices of Intent, which are due via NSPIRES by December 13, 2024. See the full posting on NSPIRES for details. 
This program does not separately solicit proposals. Proposals are first submitted to either APRA: NNH24ZDA001N-APRA or  
SAT: NNH24ZDA001N-SAT. Please read all solicitations carefully to understand requirements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</si>
  <si>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D.3 Astrophysics Research and Analysis Program</t>
  </si>
  <si>
    <t xml:space="preserve">NOTICE: Amended January 16, 2025. The proposal due date for this program has been deferred to February 21, 2025.  
ï»¿NOTICE: Amended December 23, 2024. The deadline for submission of Mandatory Notice of Intent has been extended to January 6, 2025. 
NOTICE: Amended November 7, 2024. This amendment makes several changes, summarized below. Other clarifications or corrections have also been made throughout. New text is in bold and deleted text is struck through. The upper size for CubeSats has increased from 12 to 16U; Proposals with PIs or Co-Is at Federal Agencies other than NASA should plan on the start date being delayed by 6 months (to ~April 1, 2026) based on experiences with the new G-invoicing system; NASA HQ APRA personnel and the POC for Marshall Space Flight Center X-ray Optics Facilities have been updated; Section 1.2.2.2 has been clarified to indicate that if a CubeSat proposer selects the Proposer-Provided Suborbital Launch Vehicle option, that the PI is responsible for costs of the integration and launch; Section 1.2.2.3 has been clarified to indicate that CubeSat proposers should expect to participate in regular (bi-monthly to monthly) progress update meetings with NASA program management. Finally, proposers are encouraged to use the NASA Grant Policy templates for Biographical Sketch (no page limit) and current and pending support that were released 10/1/24. For more information see the amended ROSES-24 Summary of Solicitation under Announcement Documents on the right side of this NSPIRES page. The proposal due date remains unchanged: proposals are due January 30, 2025. NASA is currently 
PLEASE NOTE: this program has MANDATORY Notices of Intent, which are due via NSPIRES by January 6,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</si>
  <si>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D.13 Astrophysics Pioneers</t>
  </si>
  <si>
    <t xml:space="preserve">NOTICE: Amended January 16, 2025. The due dates for this program have been deferred. Mandatory NOIs are now due February 14, 2025, and proposals are due April 3, 2025.  
ï»¿NOTICE: Amended November 26, 2024: ISS payloads are no longer supported due to ISS decommissioning, and (cis)-Lunar payloads are no longer included here (see F.11 PRISM SALSA) Also, outdated references to the guidebook have been updated to refer and link to the new Grant and Cooperative agreement manual throughout, additional options for launch are included, sub-orbital launches are excluded, and numerous other small changes have been made. New text is in bold and deleted text is struck through. The due dates remain unchanged: Mandatory NOIs are due January 24, 2025, and proposals are due March 13, 2025. 
PLEASE NOTE: this program has MANDATORY Notices of Intent, which are due via NSPIRES by January 24,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</si>
  <si>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C.8 Lunar Data Analysis Program</t>
  </si>
  <si>
    <t xml:space="preserve">NOTICE: Amended February 4, 2025. The proposal due dates have been delayed: Step-1 proposals are now due March 18th and Step-2 proposals are now due May 14, 2025. Also, outdated references to the Proposerâ€™s Guide have been replaced with references to the NASA Grants and Cooperative Agreement Manual. 
ï»¿The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</si>
  <si>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D.15 LISA Preparatory Science</t>
  </si>
  <si>
    <t xml:space="preserve">NOTICE: Amended January 14, 2025. The due date for Mandatory NOIs has been deferred to February 7, 2025. The due date for proposals remains March 20, 2025. Also, references to the now defunct Proposer's Guide have been replaced with ones to the new NASA Grant and Cooperative Agreement Manual. New text is in bold and deleted text is struck through. 
PLEASE NOTE: this program has MANDATORY Notices of Intent, which are due via NSPIRES by February 7, 2025. See the full posting on NSPIRES for details. 
NOTICE: Amended September 12, 2024. This amendment announces several changes to this program element: A final science gaps list will be posted under other documents on the NSPIRES page for this program element no later than November 30th, 2024. Alignment with these science gaps will be considered in the LPS evaluation (see Sections 1.1 and 3); proposals will be evaluated using dual-anonymous peer review, see Section 2.8; and numerous other clarifications to the text. New text is in bold and deleted text is struck through. The due dates remain unchanged: Mandatory NOIs are due January 17, 2025, and proposals are due March 20, 2025.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</si>
  <si>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Drug Development Tools Research Grants (U01) Clinical Trials Optional</t>
  </si>
  <si>
    <t>HHS-FDA</t>
  </si>
  <si>
    <t>Food and Drug Administration</t>
  </si>
  <si>
    <t>For profit organizations other than small businesses These grants will be used to provide funding to developers of drug development tools that have an accepted or a reviewable Letter of Intent (LOI) within a CDER/CBER's Drug Development Tool Qualification Program and are working towards their qualification plan (QP) or full qualification package (FQP).If you received DDT research grant support from FDA-CDER/CBER in previous years, you are eligible to apply provided that you have successfully progressed to the next submission milestone (e.g., Accepted LOI to Accepted QP) and are requesting additional funding for new DDT project needs addressing different aspects of the project.</t>
  </si>
  <si>
    <t>The purpose of this funding opportunity announcement (FOA) is to support research to continue the development of drug development tools that have an accepted or a reviewable Letter of Intent (LOI) within a drug development tool qualification program within either CBER or CDER. The grants will be used to further the development of tools that, once qualified, will be made publicly available to fill unmet needs in drug development.</t>
  </si>
  <si>
    <t>Long Range Broad Agency Announcement (BAA) for NSWC Crane</t>
  </si>
  <si>
    <t>DOD-ONR-SEA-CRANE</t>
  </si>
  <si>
    <t>NSWC - CRANE</t>
  </si>
  <si>
    <t>This announcement seeks revolutionary research ideas, and technology demonstrators that offer potential for advancement and improvement of NSWC Craneâ€™s primary mission areas.NSWC Crane is a field activity of the Naval Sea Systems Command. NSWC Crane supports a wide range of government agencies in the interest of national security. NSWC Crane may publish BAAs and other solicitations in response to specific needs. This BAA is issued to seek innovative solutions and ideas for topics not covered via other means. It is strongly encouraged that potential proposers review existing NSWC Crane solicitations to avoid duplication of effort and to contact the identified points of contact for each BAA topic to discuss specific details of the needs.The mission of NSWC Crane is to provide research, development, test and evaluation, acquisition engineering, in-service engineering and technical support in its assigned technical capabilities for the United States Navy, Department of Defense components and agencies, and other federal agencies and components engaged in national security. NSWC Crane also works to apply component and system-level product and industrial engineering to surface sensors, strategic systems, special warfare devices and electronic warfare systems, as well as to execute other responsibilities as assigned by the Commander, Naval Surface Warfare Center.The focus of NSWC Crane is â€œHarnessing the Power of Technology for the Warfighter.â€ Crane specializes in total lifecycle support in three broad focus areas: Expeditionary Warfare, Strategic Missions, and Electronic Warfare, which support ten assigned technical capabilities (TCs) listed below.1. Electronic Warfare (EW)2. Infrared and Pyrotechnic Countermeasures3. Strategic Systems Hardware4. Expeditionary Warfare and Systems5. Advanced Electronics6. Sensors and Surveillance Systems7. Hypersonic Weapon Systems8. Power and Energy Systems9. Electro-optic and Infrared Technologies10.Force level EW Mission Analysis, Advanced Concepts and TechnologiesWithin each of the TCs, there are multiple thrust areas, which present considerable opportunities for innovative research and solutions to support national security imperatives. There is intentional overlapping space within the listed TC such that a potential technology or research idea may support multiple TCs. Any proposal should list the principal TC as well as any adjunct TCs that should be considered. Proposals that support multiple TCs are strongly desired but not necessary.</t>
  </si>
  <si>
    <t>Civic Innovation Challenge</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</si>
  <si>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There are no restrictions or limits.</t>
  </si>
  <si>
    <t>The Civic Innovation Challenge (CIVIC) is a research and action competition that accelerates the transition to practice of foundational research and emerging technologies into communities through civic-engaged research. By addressing priorities at the local scale that are relevant across the US, CIVIC is laying the foundation for a broader and more fluid exchange of research and technology capabilities and civic priorities through joint partnerships involving civic partners and the research community. CIVIC funds projects that pilot state-of-the-art solutions to community challenges over 12 months, following a six-month planning phase, and have the potential for lasting impact in the partnering community as well as the potential to be scaled and implemented in other communities. Additionally, the foundation for CIVIC projects should be rooted in maturing and transitioning state-of-the-art research in disciplines, including but not limited to computer science, engineering, geosciences, biological sciences, and social sciences.
CIVIC is uniquely designed to enable transition to practice of innovations into communities, as follows: (1) CIVIC flips the community-university dynamic, by empowering communities and researchers to jointly identify civic priorities ripe for innovation and to address these priorities as equal partners; (2) CIVIC focuses on research-centered solutions that are ready for piloting in and with communities on a short timescale, where real-world outcomes can be evaluatedwithin 12 months; (3) CIVIC requires a coalition of communities and civic partners and a multi-disciplinary set of researchers to co-create and execute pilot projects; and (4) CIVIC organizes and fosters nationwide  communities of practice  around high-need problem areas that allow for meaningful knowledge sharing and cross-site collaboration during both the pre-development and piloting stages.
For this solicitation, civic partnership and engagement activities, communities, and academic and civic partners must be based in the United States or its protectorates. For purposes of clarity, civic partners may include local, state, or tribal government officials; non-profit representatives; community organizers or advocates; community service providers; and/or others working to improve their communities.
CIVIC is organized as a two-stage competition withtwo tracks centered around the following topic areas:
Track A. Climate and Environmental Instability - Building Resilient Communities through Co-Design, Adaption, and Mitigation
Track B. Bridging the gap between essential resources and services   community needs.
In Stage 1,approximately 35-40 Planning Grant awards will be made   each with a budget of up to $75,000 for six months to undertake planning and team development activities. These include solidifying the team, maturing the project plans, and preparing a well-developed full proposal for submission to Stage 2.Only Stage 1 CIVIC recipients can submit to the CIVIC Stage 2 competition.
In Stage 2,approximately20 Full Awards will be made. These will be selected from Stage 1 award recipients. For Stage 2, proposals will be considered with budgets up to $1,000,000 for up to 12 months. Proposals must describe how the PIs will execute and evaluate their research-centered pilot projects.
Throughout both stages, NSF award recipient (2223449) MetroLab Network (metrolabnetwork.org, nsfcivicinnovation.org) will foster  communities of practice  through in-person and virtual activities, aimed at enhancing the teams  capacity-building, networking, impact, and ability to create methods and solutions transferable to other communities.
The CIVIC research and action competition is jointly supported by NSF s Directorate for Computer and Information Science and Engineering (CISE); Directorate for Engineering (ENG);Directorate for Geosciences (GEO); Directorate for Social, Behavioral, and Economic Sciences (SBE); Directorate for Biological Sciences (BIO); and the Department of Energy (DOE), and the Department of Homeland Security (DHS).</t>
  </si>
  <si>
    <t>Innovations in Graduate Education (IGE) Program</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</si>
  <si>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Tribal Nations: An American Indian or Alaska Native tribe, band, nation, pueblo, village, or community that the Secretary of the Interior acknowledges as a federally recognized tribe pursuant to the Federally Recognized Indian Tribe List Act of 1994, 25 U.S.C.   5130-5131.</t>
  </si>
  <si>
    <t>The Innovations in Graduate Education (IGE) Program is designed to encourage development and implementation of bold, new, and potentially transformative approaches to STEM graduate education training. The program seeks proposals that a) explore ways forgraduate students in STEM master s and doctoral degree programs to develop the skills, knowledge, and competencies needed to pursue a range of STEM careers, or b) support research on the graduate education system and outcomes of systemic interventions and policies.
_x000D_
IGE projects are intendedto generate the knowledge required for the customization, implementation, and broader adoption of potentially transformative approaches to graduate education. The program supports piloting, testing, and validating novel models or activities and examining systemic innovations with high potential to enrich and extend the knowledge base on effective graduate education approaches.
_x000D_
The program addresses both workforce development, emphasizing broad participation, and institutional capacity-building needs in graduate education. Strategic collaborations with the private sector, non-governmental organizations (NGOs), government agencies, national laboratories, field stations, teaching and learning centers, informal science organizations, and academic partners are encouraged.</t>
  </si>
  <si>
    <t>EPSCoR Research Infrastructure Improvement (RII): EPSCoR Research Fellows</t>
  </si>
  <si>
    <t>Others (see text field entitled "Additional Information on Eligibility" for clarification) *Who May Submit Proposals: Proposals may only be submitted by the following:
  -
EPSCoR jurisdictions that are RII-eligible for the FY2024 competition are listed in the RII Eligibility table, which can be found a href= .
Proposals may only be submitted by organizations located in RII-eligible jurisdictions, as follows:
 Institutions of higher education (Ph.D.-granting and non-Ph.D.-granting), acting on behalf of their faculty members, that are accredited in and have a campus in the United States, its territories or possessions. Distinct academic campuses (e.g., that award their own degrees, have independent administrative structures, admissions policies, alumni associations, etc.) within multi-campus systems qualify as separate submission-eligible institutions. 
 Not-for-profit, non-degree-granting domestic U.S. organizations, acting on behalf of their employees, that include (but are not limited to) independent museums and science centers, observatories, research laboratories, professional societies, and similar organizations that are directly associated with the Nation's research or educational activities. These organizations must have an independent, permanent administrative organization (e.g., an Office of Sponsored Projects) located in the United States, its territories, or possessions, and have 501(c)(3) tax status. 
In addition, for the EPSCoR Research Fellows: @NASA opportunity, PIs must be employed by an institution that is from at least one of the four categories:
 Minority-serving institutions as a title=  href= by the U.S. Department of Education; 
 Primarily Undergraduate Institutions (PUIs), including two-year colleges, that award associate's degrees, bachelor's degrees, and/or master's degrees in NSF-supported fields, but have awarded 20 or fewer Ph.D./D.Sci. degrees in all NSF-supported fields during the combined previous two academic years; 
 Institutions of higher education that are dedicated to serve students with disabilities, as listed in Table 1, page 5, of NSF s 2008 Broadening Participation report ( a title=  href= 
 Degree-granting women s colleges, as listed in the U.S. Department of Education Digest of Education Statistics ( a title=  href= 
*Who May Serve as PI:
Principal Investigatorsmust either:
 ul type= 
 Be in an early-career, or mid-career-track position at an eligible non-degree-granting organization or 
 Hold a non-tenured or tenured faculty position at the Lecturer, Research Faculty, Assistant or Associate Professor rank (or in an equivalent position)at an institution of higher education. 
Additional guidance on eligibility for both tracks:
 ul type= 
 For the faculty category of the PI, the faculty ranking should be determined by the faculty rank at the proposal's deadline date. 
 The PI must be positioned to build sustainable research capacity at the home institution during and beyond the fellowship, which generally takes three years or more. 
 Non-tenured research assistant professors or lecturers are eligible to apply for this opportunity if they have a long-term appointment. 
 A letter from an administrative manager at the home institution is required to verify PI eligibility. /l</t>
  </si>
  <si>
    <t>The Established Program to Stimulate Competitive Research is designed to fulfill the mandate of the National Science Foundation (NSF) to promote scientific progress nationwide. NSF EPSCoR facilitates the establishment of partnerships among academic institutions, government, industry, and non-profit sectors that are designed to promote sustainable improvements in a jurisdiction's research infrastructure, Research and Development (R D) capacity, and R D competitiveness of EPSCoR-eligible jurisdictions (i.e., states, territories, and commonwealths). Eligibility to participate in the EPSCoR funding opportunities, including the EPSCoR RII: EPSCoR Research Fellows program, is described on theNSF EPSCoR website.
EPSCoR RII: EPSCoR Research Fellows directly aligns with the NSF EPSCoR strategic goal of establishing sustainable Science, Technology, Engineering, and Mathematics (STEM) professional development pathways that advance workforce development and effects engagement in STEM at national and global levels. EPSCoR RII: EPSCoR Research Fellows provides awards to build researchcapacityin institutions and transform the career trajectories of investigators and further develop their individual research potential through collaborations with investigators from the nation s premier private, governmental, or academic research institutions and/or centers. The fellowship provides opportunities to establish strong collaborations through extended or periodic collaborative visits to a selected host site.Through collaborative research activities with the host site, Fellows will be able to learn new techniques, develop new collaborations, advance existing partnerships, benefit from access to unique equipment and facilities, and/or shift their research toward potentially transformative new directions. The experiences gained through the fellowships are intended to have lasting impacts that will enhance the Fellows  research trajectories well beyond the award period. The benefits to the Fellows are also expected to improve the research capacity of their institutions and jurisdictions more broadly.
EPSCoR Research Infrastructure Improvement (RII): EPSCoR Research Fellows offers the following two tracks:
1)EPSCoR Research Fellows: NSF; and
2) EPSCoR Research Fellows: @NASA 
While the two tracks have similar goals, EPSCoR Research Fellows: NSF is open to a broad community and EPSCoR Research Fellows: @NASA focuses on faculty from institutions with high enrollments ofstudentsfrom underrepresented populations in STEM (See Section"IV. Eligibility Information" for more details) to collaborate with researchers at the National Aeronautics and Space Administration (NASA) research centers. PIs who are eligible for both tracks may apply for only one track per competition cycle.
Proposals from both tracks are submitted to and merit reviewed by NSF. Awards in the EPSCoR Research Fellows: @NASA track are referred to NASA EPSCoR for distribution of additional NASA funds and other needed NASA coordination required for the award.
In both tracks, the EPSCoR RII: EPSCoR Research Fellows program provides opportunities for the participation of one trainee, who must be an undergraduate or graduate student enrolled full-time in an accredited degree program, or a postdoctoral researcher from an EPSCoR jurisdiction. Staff members, such as technicians or lab assistants could be considered as trainees when properly justified.</t>
  </si>
  <si>
    <t>Partnerships in Astronomy   Astrophysics Research and Education</t>
  </si>
  <si>
    <t xml:space="preserve">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span class= Tribal Nations: An American Indian or Alaska Native tribe, band, nation, pueblo, village, or community that the Secretary of the Interior acknowledges as a federally recognized tribe pursuant to the Federally Recognized Indian Tribe List Act of 1994, 25 U.S.C.   5130-5131. </t>
  </si>
  <si>
    <t>The objective of PAARE is to improve the quality and environment of astronomy and astrophysics research and education by stimulating the development of formal, long-term partnerships that provide authentic pathways into the research enterprise and broaden participation in astronomy by encouraging proposals from the full spectrum of talent across society to include individuals from groups that have been historically underrepresented. Partnerships must substantially involve institutions seeking to create opportunities for student and faculty research that will increase the recruitment, retention, and success of these individuals. It is expected that the partnerships will build or strengthen research capacity, as well as foster a diverse, inclusive, and equitable environment for astronomy and astrophysics research and education at the partnering institutions.</t>
  </si>
  <si>
    <t>Mind, Machine and Motor Nexus</t>
  </si>
  <si>
    <t>The Mind, Machine and Motor Nexus (M3X) Program supports fundamental research that explores embodied reasoning as mediated by bidirectional sensorimotor interaction between human and synthetic actors. For the purposes of this program, embodiment is defined as the capacity to interact with physics-based environments. 
_x000D_
Interaction between human and synthetic actors is expanding in scale and scope across numerous fields and endeavors. Among these are areas where safety and performance are paramount, but also where ingenuity and risk-taking are essential to success. The M3X Program seeks to spur innovative and path-breaking work that can improve understanding of interaction between human and synthetic actors in a broad range of settings, while also exploring implications for the advancement of fundamental theory, foundational technologies, and meaningful applications. Successful submissions to the M3X program will therefore advance knowledge by exploring the convergence of human and synthetic actors  capabilities and actions during the performance of tasks situated within physics-based environments.
_x000D_
The following key concepts define the M3X program and therefore must be captured in any competitive proposal submitted to the program:
_x000D_
_x000D_
Human and Synthetic Actors, which refer respectively to human beings and to embodied constructs with the additional capacity for engaging in sensorimotor interactions (defined below) as enabled by a potentially wide range of capabilities such as sensing, reasoning, communicating, interacting, and learning. Competitive proposals to the M3X program must consider the interaction between at least one human actor and at least one synthetic actor._x000D_
Sensorimotor interaction, which refers to the exchange of information between at least one human actor and at least one synthetic actor through any sensorimotor channel (e.g., haptic, visual, etc.) available to human or synthetic actors in real, virtual or hybrid environments. This interaction must be bidirectional between human and synthetic actors._x000D_
Embodied reasoning, which refers to the capability of human and synthetic actors to engage in cognitive activities that produce knowledge or expectations about each other (e.g., via intent detection, trust-building, social engagement, etc.). Such capability must be enabled or evolved through sensorimotor interaction, in a physics-based environment. Other aspects of embodied reasoning such as understanding of task requirements or of the environment within which co-activities are embedded may also be present._x000D_
Physics-based environment, which refers to a real and/or simulated environment where laws of physics are defined and applied to objects and to interactions within that environment._x000D_
_x000D_
The M3X program encourages research on sensorimotor interaction and embodied reasoning between human and synthetic actors in real, virtual, or hybrid settings, over a range of spatial and temporal scales, and for different modes of interaction. The M3X program supports research derived from conceptual, mathematical, empirical, experimental, computational, and cross-cutting perspectives, among others. Multi-disciplinary perspectives are encouraged but must be integrated to promote a holistic treatment of the research.
_x000D_
Topics of interest to the M3X program include   but are by no means limited to   collaboration, cooperation, and competition among human and synthetic actors; the role of virtual, mixed and hybrid environments in decision making and learning; new approaches to modeling, guiding and controlling processes of reasoning and interaction; as well as the development of research infrastructure (including open source instrumentation, models, data and environments) that will accelerate research in this area.
_x000D_
Proposals that do not engage each of the three concepts listed above (i.e., human and synthetic actors linked through sensorimotor interaction and with capabilities for embodied reasoning) may be returned without review. Research involving only a single human actor or a single synthetic actor is not appropriate for the M3X program and should be directed towards other NSF programs. Similarly, research that does not include interaction with a physics-based environment, such as interaction between actors based exclusively on language or exchange of characters on a screen, is also not appropriate for the M3X program.</t>
  </si>
  <si>
    <t>Formal Methods in the Field</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</si>
  <si>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
 Institutions of Higher Education (IHEs) - Two- and four-year IHEs (including community colleges) accredited in, and having a campus located in the US, acting on behalf of their faculty members. 
*Who May Serve as PI:
By the submission deadline, any PI, co-PI, or other senior/key project personnel must hold either:
 a tenured or tenure-track position, or 
 a primary, full-time, paid appointment in a research or teaching position 
at a US-based campus of an organization eligible to submit to this solicitation (see above), with exceptions granted for family or medical leave, as determined by the submitting organization. Individuals with primary appointments at for-profit non-academic organizations or at overseas branch campuses of U.S. institutions of higher education are not eligible.
A project submitted to Track I must have at least one (co)-PI focusing on formal methods and at least one focusing on another area within computer and information science and engineering.</t>
  </si>
  <si>
    <t xml:space="preserve">
The Formal Methods in the Field (FMitF) program aims to bring together researchers in formal methods with researchers in other areas of computer and information science and engineering to jointly develop rigorous and reproducible methodologies for designing and implementing correct-by-construction systems and applications with provable guarantees. FMitF encourages close collaboration between two groups of researchers. The first group consists of researchers in the area of formal methods, which, for the purposes of this solicitation, is broadly defined as principled approaches based on logic and mathematics to specification, modeling, design, analysis, implementation, abstraction, verification, synthesis, and optimization of systems, networks andapplications. Thesecond group consists of researchers in the   which, for the purposes of this solicitation, is defined as any area within computer and information science and engineering that would benefit from developing and applying formal methods in their research. All proposals must make a strong case for why formal methods is appropriate for the field area.
The FMitF program solicits three classes of proposals:
Track I: Research proposals: Each proposal must have at least one Principal Investigator (PI) or co-PI with expertise in formal methods and at least one with expertise in the field area. Proposals are expected to address fundamental contributions to both formal methods and the respective field(s) and should include a proof of concept in the field along with a detailed evaluation plan that discusses intended scope of applicability, trade-offs, and limitations. Track I proposals must contain a detailed collaboration plan that clearly highlights and justifies the complementary expertise of the PIs/co-PIs in the designated areas and describes the mechanisms for continuous bi-directional interaction. Projects are limited to $1,000,000 in total budget, with durations of up to four years.
Track II: Transition to Practice (TTP) proposals: The objective of this track is to support the ongoing development of extensible and robust formalmethods research prototypes/tools to facilitate usability and accessibility to a larger and more diverse community of users. These proposals are expected to support the development, implementation, and deployment of later-stage successful formal methods research and tools into operational environments in order to bridge the gap between research and practice. A TTP proposal must include a project plan that addresses major tasks and system development milestones as well as an evaluation plan for the working system. Proposals are expected to identify a target user community or organization that will serve as an early adopter of the technology. Collaborations with industry are strongly encouraged.Projects are limited to $150,000 in total budget, with durations of up to two years.
Track III: Educationproposals: Theobjective of this track is to support the development and dissemination of education material to increase the accessibility of formal methods. These proposals are expected to develop new course material in formal methods either as a standalone course or as part of a course in a field area to which formal methods is applicable. An education proposal must include a project plan that addresses disseminationefforts andarticulates the new communities that will be impacted through the effort. Collaborations with organizations that do not have strong formal methods education in the curriculum are strongly encouraged. Projects are limited to $250,000 in total budget, with durations of up to 36 months.
The Project Description can be up to 15 pages for Track I proposals, and up to 7 pages for the Track II and Track III proposals.
</t>
  </si>
  <si>
    <t>FY2024 NAGPRA Repatriation Grants</t>
  </si>
  <si>
    <t>Special district governments The following entities are eligible to apply for a NAGPRA Repatriation Grant:An Indian Tribe, Alaskan Native Village, or Native Hawaiian OrganizationAn Indian Tribe means any tribe, band, nation, or other organized group or community of Indians, including any Alaska Native village (as defined in, or established pursuant to, the Alaska Native Claims Settlement Act), which is recognized as eligible for the special programs and services provided by the United States to Indians because of their status as Indians. The Department of the Interior has interpreted this definition as applying to the 574 Indian tribes and Alaska Native villages that are recognized by the United States Government. The Bureau of Indian Affairs  list of Federally recognized tribes is available at www.bia.gov. This list does not include Alaska regional or village corporations, though they may be partners on a project.Native Hawaiian organization (NHO) includes any organization that: a) serves and represents the interests of Native Hawaiians; b) has as a primary and stated purpose the provision of services to Native Hawaiians; and c) has expertise in Native Hawaiian Affairs. NAGPRA states that such Native Hawaiian organizations shall include the Office of Hawaiian Affairs.A museum that has control of Native American human remains, funerary objects, sacred objects, or objects of cultural patrimony and has received Federal fundsThe term   includes state or local government agencies, private institutions, and institutions of higher learning that have received Federal funds. Museums determined to be out of compliance with NAGPRA may be excluded from consideration. Federal agencies and the Smithsonian Institution may not apply for grants. Applicants who previously received a NAGPRA grant, but whose grant expired without successfully completing major elements of the proposed work or without meeting the conditions of the grant award may be penalized in the review process. If an applicant has questions about their eligibility, they should contact the Awarding Agency using the information provided in Section G of this announcement.</t>
  </si>
  <si>
    <t>Grant funds must be used for REPATRIATION under NAGPRA, which means the transfer of control of Native American human remains and/or cultural items to lineal descendants, Indian tribes, and Native Hawaiian organizations. Repatriation includes disposition of culturally unidentifiable Native American human remains (CUI) according to 43 CFR Â§ 10.11. Repatriation projects defray costs associated with the packaging, transportation, contamination removal, reburial, and/or storage of NAGPRA-related human remains and/or cultural items.</t>
  </si>
  <si>
    <t>Joint Center of Excellence for Advanced Materials Research</t>
  </si>
  <si>
    <t>DOT-FAA-FAA COE-FAA JAMS</t>
  </si>
  <si>
    <t>FAA-COE-JAMS</t>
  </si>
  <si>
    <t>Others (see text field entitled "Additional Information on Eligibility" for clarification) Member universities of the COE can apply.</t>
  </si>
  <si>
    <t xml:space="preserve">The Joint Center of Excellence (COE) for Advanced Materials (JAMS) was established in January 2004 to assist in ensuring the safe and reliable application of comÂ­posites and advanced materials to commercial aircraft. The Center is a joint effort of the Center of ExcelÂ­lence for Composite and Advanced Materials (CECAM) led by WichÂ­ita State University and the Center of Excellence for Advanced MateÂ­rials in Transport Aircraft StrucÂ­tures (AMTAS) led by the UniverÂ­sity of Washington. The COE is a leader in international coordinaÂ­tion of research, development, and standardization for structures conÂ­structed from these new materials.The goal of this joint cenÂ­ter is to create a cost-sharing academic, inÂ­dustrial, and governmental partÂ­nership. The members are forging a union between the public sector, the private sector and academic inÂ­stitutions to create a world-class capability to identify solutions for existing and potential advanced materials and structures issues.The focus of this partnership is the research, engineering and deÂ­velopment of information used to assure safety and standardize cerÂ­tification of existing and emergÂ­ing structural applications of comÂ­posites and advanced materials. Specifically, projects include the evaluation of past applications, performance of applied research and the development of standard engineering practices. This Joint Center of Excellence, working with industry and government, also plays an important role in technology transfer, training, and continuing education for the aircraft industry and regulators.Research Areas:Damage Tolerance of Advanced Composite StructuresDurability of Adhesively Bonded Joints (Composite and Hybrid)Metal   Non-Metal Based Additive Manufacturing TechnologiesCrashworthiness of Composite Airframes and Seating SystemsEnvironmental and Aging Effects on In- Service Composite StructuresLightning Strikes on Composite AirframesNew material systems and innovative production technologiesMaintenance and Inspection of Composite Structures </t>
  </si>
  <si>
    <t xml:space="preserve">This is a test. Please DO NOT submit.      </t>
  </si>
  <si>
    <t>IVV</t>
  </si>
  <si>
    <t>IV&amp;V Test Agency</t>
  </si>
  <si>
    <t xml:space="preserve">Others (see text field entitled "Additional Information on Eligibility" for clarification)      </t>
  </si>
  <si>
    <t>This is a test. Please disregard this.Î± âˆ¨ Î²</t>
  </si>
  <si>
    <t>Research Infrastructure in the Social and Behavioral Sciences</t>
  </si>
  <si>
    <t>The Research Infrastructure in the Social and Behavioral Sciences Program (RISBS) supports projects that create computational tools and data to facilitate basic research in the social and behavioral sciences that can lead to improved health, prosperity and security.
_x000D_
Projects should be aimed at creating computational tools and data to enable research by social scientists. Examples include, but are not limited to, data collection or assembly efforts that result in new resources for a community of researchers or software platforms that facilitate data collection efforts by others. RISBS does not support research by PIs except in service of creation of the infrastructure. Innovation is especially encouraged.
_x000D_
RISBS directly supports three key longitudinal surveys and panel studies that provide researchers with data on how American society functions and changes over time (and in 2010 were recognized as among the 60 most significant "discoveries or advances that... have had a large impact or influence on every American s life... call[ed] the  Sensational 60 , in honor of NSF s 60th anniversary ):
_x000D_
_x000D_
The American National Election Study, which started in 1948 and has been funded by NSF since 1977, provides  gold standard  data on voting, public opinion, and political participation in U.S. national elections._x000D_
The General Social Survey, a nationally representative interview survey of the U.S. adult population, collects data on a wide range of topics and has been funded by NSF since its inception in 1972._x000D_
The Panel Study of Income Dynamics, a longitudinal survey of a nationally representative sample of U.S. families begun in 1968 (with NSF taking over most of its funding in 1980) collects data on a wide array of economic, social and health factors._x000D_
_x000D_
The RISBS program administers separate solicitations for the American National Election Study (ANES), the General Social Survey (GSS) and the Panel Study of Income Dynamics (PSID). These solicitations have specific requirements and submission deadlines. Other infrastructure proposals may be submitted directly to the RISBS program at any time or transferred from other SBE programs following the respective program s submission guidelines. RISBS also collaborates with other programs in the social and behavioral sciences through a co-funding process to support projects that create especially valuable tools for researchers in those fields or are furthering innovations in research infrastructure.
_x000D_
Prospective PIs may also be interested in the Human Networks and Data Science Program   Infrastructure(HNDS-I), which supports proposals addressing the development of data resources and relevant analytic techniques that support research in the social, behavioral and economic sciences.Prospective PIs are strongly encouraged to contact the RISBS program officers and/or program officers from other SBE programs that may be applicable to the proposal before submitting to RISBS and to refer to the NSF Proposal   Award Policies   Procedures Guide (PAPPG) policies on duplicate or substantially similar proposals.</t>
  </si>
  <si>
    <t>Mathematical and Physical Sciences Ascending Faculty Catalyst Awards</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</si>
  <si>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Only prior recipients of MPS-Ascend Postdoc Fellowships (those awarded under NSF 21-573, NSF 22-501, or NSF 23-501) who completed no less than 12 months as an MPS-Ascend Postdoc Fellow, are eligible for MPS-Ascend Faculty Catalyst Awards.
_x000D_
Applications for MPS-Ascend Faculty Catalyst award are accepted by invitation extended by the Program Director who manages or is cognizant of their MPS-Ascend Postdoc Fellowship award. The invitation to apply for theMPS-Ascend Faculty Catalyst award can be extended by themanaging or cognizant Program Director of the MPS-Ascend Postdoc Fellowship Award only after theMPS-Ascend Postdoc Fellows contacted and communicated with them.
_x000D_
Invited MPS-Ascend Faculty Catalyst proposals must be received no more than 12 months after the close of the MPS-Ascend Postdoc Fellowship, and no more than six months after the start of the first tenure-track appointment of the applicant at an Institution of Higher Education (IHE).
_x000D_
Hence, it is strongly advised that MPS-Ascend Postdoc Fellows contact their managing or cognizant Program Director as soon as they accept the offer of the tenure-track appointment.</t>
  </si>
  <si>
    <t>The purpose of the Mathematical and Physical Sciences Ascending Faculty Catalyst Awards (MPS-Ascend Faculty Catalyst Awards, MPS-AFCA) is to support successful MPS-Ascending Postdoctoral Research Fellows (MPS-Ascend Fellows) as they transition into tenure track (or equivalent) faculty positions at Institutions of Higher Education (IHE) inany scientific area within the purview of the five MPS Divisions: the Divisions of Astronomical Sciences (AST), Chemistry (CHE), Materials Research (DMR), Mathematical Sciences (DMS), and Physics (PHY).The program is intended to support these investigators of significant potential by providing them with resources for research and broadening participation activities that are in addition to initial resources typically provided through institutional start-up packages.This support is strategically designed to enable their continued scientific contributions and their exemplary leadership in the area of broadening participation. MPS-Ascend Postdoc Fellows are invited to apply for an MPS-Ascend Faculty Catalyst Award after consultation with the managing or cognizant Program Director of theMPS-Ascend Postdoc Fellowship Award.</t>
  </si>
  <si>
    <t>Research in the Formation of Engineers</t>
  </si>
  <si>
    <t>The NSF Engineering Directorate (ENG) has launched a multi-year initiative, theProfessional Formation of Engineers, to create and support an innovative and inclusive engineering profession for the 21stcentury. Professional Formation of Engineers (PFE) refers to the formal and informal processes and value systems by which people become engineers. It also includes the ethical responsibility of practicing engineers to sustain and grow the profession in order to improve quality of life for all peoples. The engineering profession must be responsive to national priorities, grand challenges, and dynamic workforce needs; it must be equally open and accessible to all.
_x000D_
Professional Formation of Engineers includes, but is not limited, to:
_x000D_
_x000D_
Introductions to the profession at any age;_x000D_
Development of deep technical and professional skills, knowledge, and abilities in both formal and informal settings/domains;_x000D_
Development of outlooks, perspectives, ways of thinking, knowing, and doing;_x000D_
Development of identity as an engineer and its intersection with other identities; and_x000D_
Acculturation to the profession, its standards, and norms._x000D_
_x000D_
The goal of the Research in the Formation of Engineers (RFE) program is to advance our understanding of professional formation. It seeks both to deepen our fundamental understanding of the underlying processes and mechanisms that support professional formation and to demonstrate how professional formation is or can be accomplished. Ultimately RFE aims to transform the engineer-formation system, and thus the impact of proposed projects on this system must be described. Principal Investigators (PIs) should provide a roadmap detailing how they envision the proposed research will eventually broadly impact practice within the engineer-formation system, even if these activities are not within the scope of the submitted proposal.
_x000D_
In order to accomplish its goals, RFE welcomes proposals in two categories: Research Projects, and Design and Development Projects. Research Projects address fundamental questions of professional formation, while Design and Development Projects provide new approaches to achieving professional formation. Additional details are provided below. Projects in both categories should address the iterative cycle in which research questions that advance understanding are informed by practice and the results of research are, in turn, translated into practice. In other words, proposals should explain how the research results will travel, translate, transfer, or scale. Successful projects identify specific target audiences, effective communication channels, and novel partnerships to ensure effective propagation and scaling. Proposal titles should begin with either   or  Design and Development:  as appropriate.
_x000D_
Research Projects
_x000D_
Research proposals are particularly welcome in the following areas:
_x000D_
_x000D_
Research that addresses lifelong learning by the engineering workforce._x000D_
Research on the impact of engineering education research. Proposals addressing this topic could investigate questions such as: How can we measure the impacts of engineering education research? What are effective strategies for scaling reforms? How can we translate knowledge from research to practice? What are the roles of technologies, networks and communities in achieving impact? RFE does not support efficacy, effectiveness, or scale-up studies for specific interventions._x000D_
Research that addresses culture change in engineering education. Included in this topic are investigations of normative cultures of engineering at any level in the engineering education ecosystem and how these cultures may disadvantage certain groups._x000D_
Research that addresses engineering formation at the two-year college level in both formal and informal settings._x000D_
Research that addresses engineering formation at the graduate education level in both formal and informal settings._x000D_
Research that investigates engineering in P-12 settings. Research in this area could include understanding of approaches to engineering in P-12, how to develop engineering ways of thinking, or the relationship between practices within the sciences and mathematics and engineering thinking._x000D_
Research on the transitions between education levels, e.g., from high school to two-year college, high school to four-year college/university, two-year college to four-year college/university, undergraduate to graduate school, education settings to the workforce or professoriate, etc._x000D_
Research that addresses the relationship between engineering and the public. Proposals addressing this topic could consider the social impact of engineering solutions, citizen engineering, education of an informed public, etc._x000D_
Research that develops or adapts novel methodologies and frameworks appropriate for studying the professional formation of engineers, and especially minoritized, marginalized, or underserved populations._x000D_
Research that addresses ways in which new technologies (such as artificial intelligence and machine learning) are changing engineering education._x000D_
Research to transform engineering education so that all students encounter environmental and social sustainability principles as an integrated part of their education and are equipped with the tools needed to incorporate these principles into their future research, careers, and innovations._x000D_
_x000D_
Proposals submitted to the Research Projects category should have clear research questions informed by an appropriate theoretical framework and a research design that includes sampling, data collection, and data analysis methods. This category will not support proposals that seek funding primarily to develop tools, curriculum, or laboratories, or that seek to implement classroom innovations that have already been shown to be effective in engineering. The program will evaluate the value of proposals by considering the impact and the cost. Research track projects that are small, exploratory, or speculative are especially encouraged. Larger Research track projects should have a correspondingly larger impact.
_x000D_
Design and Development Projects
_x000D_
RFE supports Design and Development projects (seehttps://www.nsf.gov/publications/pub_summ.jsp?ods_key=nsf13126) that seek to develop and test new approaches in the following areas related to engineering education:
_x000D_
_x000D_
Graduate education._x000D_
Undergraduate education in new engineering technologies and environmental sustainability._x000D_
Transitions between education levels, for example high school to two-year college, high school to four-year college/university, two-year college to four-year college/university, undergraduate to graduate school, education settings to the workforce or professoriate, etc._x000D_
P-12, especially approaches to develop engineering thinking, or providing links between engineering, science, and mathematics._x000D_
_x000D_
Proposals in this category should propose the design and development of new approaches that are informed by existing literature and theory. There should be clear objectives and the evaluation plan should be designed to determine if those objectives have been met. Projects cannot be solely demonstration projects but must add to the engineering education literature to inform future work.</t>
  </si>
  <si>
    <t>Condensed Matter and Materials Theory</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</si>
  <si>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See  Limit on Number of Proposals per PI or Co-PI  below.</t>
  </si>
  <si>
    <t>CMMT supports theoretical and computational materials research in the topical areas represented in DMR's other Topical Materials Research Programs (these are also variously known as Individual Investigator Award (IIA) Programs, or Core Programs, or Disciplinary Programs), which are: Condensed Matter Physics (CMP), Biomaterials (BMAT), Ceramics (CER), Electronic and Photonic Materials (EPM), Metals and Metallic Nanostructures (MMN), Polymers (POL), and Solid State and Materials Chemistry (SSMC). The CMMT program supports fundamental research that advances conceptual understanding of hard and soft materials, and materials-related phenomena; the development of associated analytical, computational, and data-centric techniques; and predictive materials-specific theory, simulation, and modeling for materials research. First-principles electronic structure, quantum many-body and field theories, statistical mechanics, classical and quantum Monte Carlo, and molecular dynamics, are among the methods used in the broad spectrum of research supported in CMMT. Research may encompass the advance of new paradigms in materials research, including emerging data-centric approaches utilizing data-analytics or machine learning. Computational efforts span from the level of workstations to advanced and high-performance scientific computing. Emphasis is on approaches that begin at the smallest appropriate length scale, such as electronic, atomic, molecular, nano-, micro-, and mesoscale, required to yield fundamental insight into material properties, processes, and behavior, to predict new materials and states of matter, and to reveal new materials phenomena. Approaches that span multiple scales of length and time may be required to advance fundamental understanding of materials properties and phenomena, particularly for polymeric materials and soft matter. Areas of recent interest include, but are not limited to: strongly correlated electron systems; topological phases; low-dimensional materials and systems; quantum and classical nonequilibrium phenomena, the latter including pattern formation, materials growth, microstructure evolution, fracture, and the jamming transition; gels; glasses; disordered materials, hard and soft; defects; high-temperature superconductivity; creation and manipulation of coherent quantum states; nanostructured materials and mesoscale phenomena; sustainable materials; polymeric materials and soft condensed matter; active matter and related collective behavior; biologically inspired materials, and research at the interfaces of materials with biological systems.
_x000D_
CMMT encourages potentially transformative submissions at the frontiers of theoretical, computational, and data-intensive materials research, which includes but is not limited to: i) advancing the understanding of emergent properties and phenomena of materials and condensed matter systems, ii) developing materials-specific prediction and advancing understanding of properties, phenomena, and emergent states of matter associated with either hard or soft materials, iii) developing and exploring new paradigms including computational and data-enabled approaches to advance fundamental understanding of materials and materials related phenomena, iv) fostering research at interfaces among subdisciplines represented in the Division of Materials Research, v) harnessing machine learning or developing explainable machine learning to advance understanding of materials and materials-related phenomena, or vi) developing new theoretical frameworks in areas of materials research, such as active matter, nonequilibrium materials or matter, the synthesis of solid-state materials, or reformulating quantum many-body theory for conceptual insight or greater tractability.
_x000D_
Research involving significant materials research cyberinfrastructure development, for example, software development with an aim to share software with the broader materials community, should be submitted to CMMT through Computational and Data-Enabled Science and Engineering (CDS E) in accordance with its submission instructions for DMR.
_x000D_
Additional Information
_x000D_
Eligibility rules apply for submissions; please see Section II. Program Description, Section IV. Eligibility Information, and Section V.A Proposal Preparation Instructions.</t>
  </si>
  <si>
    <t>Division of Materials Research: Topical Materials Research Programs</t>
  </si>
  <si>
    <t>Materials Research is the field of science where physics, chemistry, materials science, and engineering naturally converge in the pursuit of the fundamental understanding of the properties of materials and the phenomena they host. Materials are abundant and pervasive, serving as critical building blocks in technology and innovation. Materials Research impacts life and society, as it shapes our understanding of the material world and enables significant advances spanning the range from nanoelectronics to health-related fields. The development and deployment of advanced materials are major drivers of U.S. economic growth.
_x000D_
Research supported by the Division of Materials Research (DMR) focuses on advancing the fundamental understanding of materials, materials discovery, design, synthesis, characterization, properties, and materials-related phenomena. DMR awards enable understanding of the electronic, atomic, and molecular structures, mechanisms, and processes that govern nanoscale to macroscale morphology and properties; manipulation and control of these properties; discovery of emerging phenomena of matter and materials; and creation of novel design, synthesis, and processing strategies that lead to new materials with unique characteristics. These discoveries and advancements transcend traditional scientific and engineering disciplines. Projects supported by DMR are not only essential for the development of future technologies and industries that address societal needs, but also for the preparation of the next generation of materials researchers.
_x000D_
Additional Information
_x000D_
Eligibility rules apply for submissions; please see Section II. Program Description, Section IV. Eligibility Information, and Section V.A Proposal Preparation Instructions</t>
  </si>
  <si>
    <t>Community Facilities Program Disaster Repair Grants</t>
  </si>
  <si>
    <t>USDA-RHS</t>
  </si>
  <si>
    <t>Rural Housing Service</t>
  </si>
  <si>
    <t>Others (see text field entitled "Additional Information on Eligibility" for clarification) An eligible applicant must be a public body, nonprofit corporation, or Federally-recognized tribe. To be eligible for grant funds under this Notice,  the project must be located in a rural area in a county (or a rural area of a Reservation for Indian tribes) with a disaster declaration as declared by the President of the United States;  the disaster declaration must be related to the consequences of a disaster occurring in CY 2022;  the Federal Emergency Management Agency (FEMA) must have provided a notice declaring the disaster.  The term rural or rural area is defined in Section 343(a)(13)(C) of the Consolidated Farm and Rural Development Act (7 U.S.C. 1991(a)(13)(C)), as amended, as a city, town or, unincorporated area that has a population of not more than 20,000 inhabitants.</t>
  </si>
  <si>
    <t xml:space="preserve">
This program provides up to $50 million in grant funding to eligible public bodies, non-profits, and Federally-recognized tribes. Grants may cover up to 75 percent of total project cost. There is no minimum or maximum award amount.
Grants will be provided to eligible applicants to repair eligible essential community facilities damaged by Presidentially Declared Disasters that occurred in CY 2022 . Subject to any updates to the Presidentially Declared Disasters, the following states have been identified with areas that have been impacted by qualifying events during CY 2022: Alaska, American Samoa, Arizona, California, Colorado, Florida, Hawaii, Idaho, Illinois, Iowa, Kansas, Kentucky, Maine, Massachusetts, Minnesota, Mississippi, Missouri, Montana, Nebraska, Nevada, New Mexico, New York, North Carolina, North Dakota, Oklahoma, Oregon, Puerto Rico, Rhode Island, South Carolina, South Dakota, Tennessee, Texas, U.S. Virgin Islands, Virginia, Washington, and West Virginia.
Applications for the CF Program Disaster Repair Grants must be submitted to the applicable USDA RD Office. Applications will be accepted on a continual basis, beginning on the publication date of this notice, until funds are exhausted. The applicable USDA RD State Office will conduct an initial review, rating, and selection of complete applications.</t>
  </si>
  <si>
    <t>BIL - Carbon Utilization Procurement Grants under Bipartisan Infrastructure Law Section 40302</t>
  </si>
  <si>
    <t>State governments See Section III of the Funding Opportunity Announcement for a full description of restricted eligibility.</t>
  </si>
  <si>
    <t>Funding Opportunity Announcement No. DE-FOA-0002829, titled BIL-Carbon Utilization Procurement Grants Under Bipartisan Infrastructure Law Section 40302
The overall objective of the planned Funding Opportunity Announcement is to support DOEâ€™s current vision of the Carbon Utilization Procurement Grants Program which will illustrate that several incumbent products can be replaced or supplemented with alternatives that are derived from the conversion of anthropogenic carbon oxides, demonstrating that significant net reductions in greenhouse gas emissions are possible. These grants will illustrate that more sustainable alternatives are viable and will promote the deployment of these products even after the grant ends.</t>
  </si>
  <si>
    <t>Facility and Instrumentation Request Process</t>
  </si>
  <si>
    <t>The Facility andÂ InstrumentationÂ Request Process (FIRP)Â solicitation describes theÂ mechanismÂ by which the research community can propose projects that require access toÂ instrumentation and facilities sponsored by theÂ FacilitiesÂ for Atmospheric ResearchÂ and EducationÂ (FARE) ProgramÂ in theÂ Division of Atmospheric andÂ GeospaceÂ Sciences (AGS).Â  FARE provides funding to a variety of organizations to make specialized instrumentation and facilities available to the atmospheric science research communityÂ through the Lower Atmosphere Observing Facilities (LAOF) and the Community Instruments and Facilities (CIF) programs. FIRP allows for parallel evaluation of intellectual merit and broader impacts along with the feasibility of the proposed project.
All proposals to AGS that require the use of FARE-sponsored assets must be submitted through this solicitation.Â 
The FIRP solicitation offers three proposal submission tracks based on the type and purpose of the request:Â Â 
Track 1Â -Â Education and Outreach.
Track 2Â -Â Single Facility Request.
Track 3Â -Â Field Campaigns. Â Â  
Preference for funding will be given to proposals submitted to programs in the DivisionÂ ofÂ Atmospheric andÂ GeospaceÂ Sciences (AGS) in the Geosciences Directorate (GEO).Â If you are planning to submit a proposal to a program outside AGS, including NSF-wide or Directorate-wide solicitations, please contact the FARE program director, Shree Mishra at fare@nsf.gov to discuss the timelines, review process, andÂ budget request for the use of FARE assets.Â </t>
  </si>
  <si>
    <t>Catalysis</t>
  </si>
  <si>
    <t>The Catalysis program is part of the Chemical Process Systems cluster, which also includes: 1) the Electrochemical Systems program; 2) the Interfacial Engineering program; and 3) the Process Systems, Reaction Engineering, and Molecular Thermodynamics program.
_x000D_
The goals of the Catalysis program are to increase fundamental understanding in catalytic engineering science and to advance the development of catalysts and catalytic reactions that are beneficial to society. Research should focus on critical challenges and opportunities in both new and proven catalysis technologies. Areas of emphasis may include novel catalyst compositions, structures, operating environment, data science tools, theory, and modeling   preferably in various combinations as dictated by the specific reaction and related knowledge and technology gaps. Target applications include fuels, specialty and bulk chemicals, environmental catalysis, biomass conversion to fuels and chemicals, greenhouse gas mitigation, recycling of waste materials, generation of solar hydrogen, as well as efficient routes to energy utilization.
_x000D_
Heterogeneous catalysis represents the main thrust of the program. Proposals related to both gas-solid and liquid-solid heterogeneous catalysis are welcome, as are proposals that incorporate concepts from homogeneous catalysis. Recent research trends have highlighted the need for evaluation of catalyst performance and properties under working conditions, especially as supported by advanced in situ and in operando characterization methods. Catalyst synthesizability and stability present additional research opportunities given the harsh operating environments of many catalytic processes. 
_x000D_
Topic areas of particular interest include:
_x000D_
_x000D_
Energy-related catalysis, utilizing renewable or sustainable energy in lieu of thermal, fossil fuel-based technologies, especially applications in electrocatalysis, photocatalysis, and catalytic conversion of biomass-derived chemicals, and also including fuel cell catalysis._x000D_
Catalysis aimed at closing the carbon cycle (especially conversion of carbon dioxide, methane, and natural gas to fuels and chemical intermediates)._x000D_
Heterogeneous catalytic alternatives to traditionally non-catalytic or homogeneous reaction processes, as well as new catalyst designs for established catalytic processes._x000D_
Environmental catalysis focused on mitigating both air and water pollutants, and supporting energy-efficient upcycling of waste materials to higher-value products._x000D_
Catalytic remediation of feedstocks, process streams, products, or effluents._x000D_
Commercially scalable methods of catalyst synthesis, including durable, poison-resistant, and easily regenerable catalyst formulations and designs._x000D_
New catalytic materials and architectures (especially those substituting earth-abundant materials for precious and noble metal catalysts)._x000D_
Basic understanding of catalytic materials, reaction pathways, kinetics, and surface reaction mechanisms._x000D_
Advanced tools for catalyst characterization and theoretical/computational catalysis._x000D_
_x000D_
Proposals that deal with new catalytic materials, especially when viewed in light of the inherent complexity of heterogeneous catalytic reactions, will be enhanced by including plans to assess: 1) reproducibility and repeatability of data, 2) stability under realistic operating conditions including start-up and shut-down cycles, 3) performance relative to standard or well-known reference materials, and 4) quantitative, well-accepted measures of catalyst activity, selectivity, and catalytic efficiency, such as turnover frequencies, quantum and/or photon yields of photocatalysts, Faradaic efficiency of electrocatalytic reactions, and detailed product analyses and mass balances for the targeted application.
_x000D_
NOTE: Proposals that focus on 1) molecular or homogeneous catalysis, 2) the surface science of catalysis, 3) photo redox catalysis, 4) catalytic organic synthesis reactions, and/or 5) fine chemical synthesis and pharmaceutical applications of catalysis may be more appropriately submitted to the Chemical Catalysis program.(CHE 6884) in the Division of Chemistry in the Directorate for Mathematical and Physical Sciences. Proposals focused on biocatalytic processes, including proposals focusing on enzyme engineering, cellular and biomolecular processes, should be submitted to the Cellular and Biochemical Engineering program (CBET 1491). If the proposal focuses on reaction engineering aspects of catalytic processes, submit to the Process Systems, Reaction Engineering, and Molecular Thermodynamics program (CBET 1403). Projects that are interdisciplinary in nature may be jointly funded with other CBET and NSF programs. Program directors will review the submissions and may transfer your proposal to give it the best review situation.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 CAREER program description.
_x000D_
Proposals for Conferences, Workshops, and Supplements: PIs are strongly encouraged to discuss their requests with the 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Types of Proposals.
_x000D_
COMPLIANCE: Proposals which are not compliant with theProposal   Award Policies   Procedures Guide (PAPPG)will be returned without review.</t>
  </si>
  <si>
    <t>Calendar Year 2022 Disaster Water Grants</t>
  </si>
  <si>
    <t>Others (see text field entitled "Additional Information on Eligibility" for clarification) Eligible Applicants.  See information on eligibility under Description below.</t>
  </si>
  <si>
    <t>APPLICATIONS ARE TO BE SUBMITTED ELECTRONICALLY THROUGH RD APPLY AT: https://rdapply.sc.egov.usda.gov/. This posting at grants.gov is informational only. ï»¿The CY 2022 Disaster Water Grants Program is designed to assist communities by awarding grant funds to qualified entities for expenses related to water infrastructure systems in designated areas that were impacted by events that occurred during CY 2022 and were recognized through Presidentially Declared Disasters. In addition to damage repairs, these grants are also intended to develop system capacity and resiliency in order to reduce or eliminate long-term risks from future events. Water infrastructure systems include drinking water, wastewater, solid waste, and stormwater projects serving eligible communities. Adequate documentation must be provided to demonstrate impacts to the water infrastructure systems. Eligible applicants must meet the following eligibility requirements: (a) Be either a Public Body, an organization operated on a not-for-profit basis, a tribe, or a prefabricated home organization operating an eligible community-based system. Non-tribal applicants proposing to serve tribes and tribal areas should have the support of those tribes either in the form of a Tribal Resolution and/or letter of support for the project impacting their communities.(b) Be eligible to receive and administer a Federal grant under Federal law. (c) Each applicant must:(1) Have or will obtain the legal authority necessary for owning, constructing, operating, and maintaining the facility or service to be repaired or replaced and for issuing security for the proposed grant;(2) Be responsible for operating, maintaining, and managing the facility, and providing for its continued availability and use at reasonable user rates and charges; and(3) Retain this responsibility even though the facility may be operated, maintained, or managed by a third party under contract or management agreement. (d) Demonstrate that they possess the technical, managerial, and financial capability necessary to consistently comply with pertinent Federal and State laws and requirements. (e) Have no delinquent debt to the federal government or no outstanding judgments to repay a federal debt.</t>
  </si>
  <si>
    <t>BHA Multi Year Annual Program Statement (BHA MYAPS)</t>
  </si>
  <si>
    <t>Unrestricted (i.e., open to any type of entity above), subject to any clarification in text field entitled "Additional Information on Eligibility" See APS for applicant eligibility details</t>
  </si>
  <si>
    <t>December 17, 2024, Final version of Leading through Excellence and Accountability Program (LEAP) Activity MYAPS Round 06 
Round 6 of the of the Multi-Year Annual Program Statement (MY APS) No. 720BHA23APS00002-06, titled, â€œRound 06-BHA LEAP under Base MYAPS 720BHA23APS00002â€ (referred to as Round 6, or LEAP Activity) is requesting the submission of concept papers.  
Please refer to the base document of the MY APS for additional information. While this Round is intended to be an elaboration of the information provided in the MY APS Base document, should there be differences between the two, this Round will supersede information in the base document. As such, both documents should be read in conjunction to ensure all application requirements are met. 
Questions regarding this Round 6 LEAP Activity APS should be submitted in writing to: 720BHA23APS00002-06.LEAP@usaid.gov no later than January 6, 2025, 11:59 p.m. (Eastern Standard Time) 
December 16, 2024, Final version of West Africa DRR MYAPS Round 05 
Round 05 of the of the Multi-Year Annual Program Statement (MY APS) No. 720BHA23APS00002-05, titled, â€œRound 05 of the Multi-Year Annual Program Statement (MY APS) No. 720BHA23APS00002 (referred to as MY APS Round 05, or West Africa ER4 APS) is requesting the submission of applications.  
Please refer to the base document of the MY APS for additional information. While this Round is intended to be an elaboration of the information provided in the MY APS Base document, should there be differences between the two, this Round will supersede information in the base document. As such, both documents should be read in conjunction to ensure all application requirements are met. 
Questions regarding this Round 5 West Africa ER4 APS should be submitted in writing to: BHA.720BHA23APS00002-05.WADRR@usaid.gov no later than January 8, 2025, 5:00 p.m. (Eastern Standard Time) 
November 20, 2024, Final version of Nepal Round 4 and Q A document 
Please note that the USAID's Bureau for Humanitarian Assistance (BHA) Final Amendment 1 Nepal Round 4 and the Question   Answer documents have been published as of Wednesday, November 20, 2024. The amended Round 4 (changes highlighted in yellow) and Q A Document address the pertinent questions/comments received by November 1, 2024, which was the closing date for questions for Round 4. 
Concept Notes should be submitted to BHA.720BHA23APS00002-04.NP@usaid.gov no later than December 13, 2024, 11:59 p.m. EST. 
The documents can be found under Folder "Full Announcement - 720BHA23APS00002-04-Nepal"; the file names are "720BHA23APS00002-04 Nepal Amendment 1 Round 4" and "Q A Responses for MYAPS Nepal Round 720BHA23APS00002-04" 
October 11, 2024, 2024 Final version of Nepal RFSA MY APS Round 4 
Round 4 of the of the Multi-Year Annual Program Statement (MY APS) No. 720BHA23APS00002-04, titled, â€œRound 04 -Nepal Early Recovery, Risk Reduction, and Resilience (ER4) Activity under BHA Multi-Year Base Annual Program Statement (MYAPS) 720BHA23APS00002â€ (referred to as MY APS Round 4, or Nepal ER4 APS) is requesting the submission of concept notes. USAID anticipates issuing one award under this Round. 
This round is issued under the MY APS. Unless otherwise stated herein, all terms and conditions of the MY APS apply. Please refer to the Base MY APS for additional information. While this Round is intended to be an elaboration of the information provided in the Base APS, should there be differences between the two, this MY APS Round 4 will supersede information in the Base APS. As such, both documents should be read in conjunction to ensure all application requirements are met. 
Comments regarding this Round 4 Nepal ER4 APS should be submitted in writing to: BHA.720BHA23APS00002-04.NP@usaid.gov no later than November 1, 2024, at 16:59 p.m. EST. 
August 7, 2024, Final version of WASH MYAPS Round 3 and Q A document 
Please note that the USAID's Bureau for Humanitarian Assistance (BHA) Final Amended WASH MYAPS Round 3 and the Question   Answer documents have been published as of Wednesday, August 7, 2024. The amended Round 3 (changes highlighted in yellow) and Q A Document address the pertinent questions/comments received by July 5, 2024, which was the closing date for questions for Round 3. Concept Papers should be submitted to BHA.720BHA23APS00002-03.WASH@usaid.gov no later than August 30, 2024, 11:59 p.m. 
The documents can be found under Folder "Full Announcement - 720BHA23APS00002-03-WASH"; the file names are "720BHA23APS00002-03 WASH Studies Amended Final Round 3" and "Q A Responses for MYAPS WASH Round 720BHA23APS00002-03" 
July 29, 2024. Concept Paper Submission date for ROUND 3 WASH Updated 
The Concept Paper Submission date for the Round 3 WASH has been updated. Concept Papers should be submitted to BHA.720BHA23APS00002-03.WASH@usaid.gov no later than August 30, 2024, 11:59 p.m. 
June 20, 2024. Round 3 WASH APS 
Round 3 of the of the Multi-Year Annual Program Statement (MY APS) No. 720BHA23APS00002-03-WASH, titled, â€œBHA Multi-Year APS: Round 03-Water Sanitation and Hygiene (WASH) Studiesâ€ (referred to as MY APS Round 3, or WASH APS) is requesting the submission of applications focused on Water Sanitation and Hygiene (WASH) Studies Activity. USAID anticipates issuing up to two (2) awards under this Round. 
This round is issued under the MY APS. Unless otherwise stated herein, all terms and conditions of the MY APS apply. Please refer to the Base MY APS for additional information. While this Round is intended to be an elaboration of the information provided in the Base APS, should there be differences between the two, this MY APS Round 3 will supersede information in the Base APS. As such, both documents should be read in conjunction to ensure all application requirements are met. 
Comments regarding this Round 3 WASH APS should be submitted in writing to: no later than July 5, 2024, at 11:59 p.m. EST. 
May 1, 2024 Final version of Madagascar RFSA MY APS Round 2 
Please note that the Final Amended RFSA MY APS Madagascar for USAID's Bureau for Humanitarian Assistance (BHA) Resilience Food Security Activity (RFSA) as well as the Questions   Answers document have been published, as of Wednesday, May 1, 2024 on Grants.gov. The amended RFSA (changes highlighted in yellow) and Q A document, address the pertinent questions/comments received by the April 11, 2024, closing date for questions on the subject RFSA. The File name is â€œ720BHA23APS00002-Revised Full Announcement - Final Madagascar RFSA Round 2.â€ 
April 23, 2024 Final Amended RFSA MY APS Somalia Round 1  
Please note that the Final Amended RFSA MY APS Somalia for USAID's Bureau for Humanitarian Assistance (BHA) Resilience Food Security Activity (RFSA) as well as the Questions   Answers document have been published (as of Tuesday, April 23, 2024) on Grants.gov. The amended RFSA (changes highlighted in yellow) and Q A document addresses the pertinent questions/comments received by the April 3, 2024, 12:00 p.m. ET closing date.  
March 28, 2024 Final version of Madagascar RFSA MY APS Round 2 
Please note that the final version of Madagascar MY APS Round 2 for USAID's Bureau for Humanitarian Assistance (BHA) RFSA in Madagascar has been published (as of Tuesday, March 28, 2024) on Grants.gov. The final Round 2 addresses the pertinent questions/comments received during the comments period for the subject Round 2. 
Applications are due by Friday May 13, 2024 at 12:00pm Eastern Time (ET). 
Please note that no BHA Humanitarian Assistance Officers or field representatives should be contacted about information contained in the RFSA materials or with application questions. Any questions concerning this RFSA, its appendices, or Technical References must be submitted in writing by April 11, 2024 at 12:00pm Eastern Time (ET) to BHA.720BHA23APS00002-02.MG@usaid.gov with "Madagascar MY APS Round 2" in the subject line.  
March 19, 2024 Final version of Somalia RFSA MY APS Round 1 
Please note that the final version of Somalia MY APS Round 1 for USAID's Bureau for Humanitarian Assistance (BHA) RFSA in Somalia has been published (as of Tuesday, March 19, 2024) on Grants.gov. The final Round 1 addresses the pertinent questions/comments received during the comments period for the subject Round 1. 
Applications are due by Friday May 3, 2024 at 12:00pm Eastern Time (ET). 
Please note that no BHA Humanitarian Assistance Officers or field representatives should be contacted about information contained in the RFSA materials or with application questions. Any questions concerning this RFSA, its appendices, or Technical References must be submitted in writing by April 3, 2024 at 12:00pm Eastern Time (ET) to BHA.720BHA23APS00002-01.SOM@usaid.gov with "Somalia MY APS Round 1" in the subject line.  
February 27, 2024 
The Public Briefing Fiscal Year (FY) 2024 Somalia Resilience Food Security Activity (RFSA) is now available. The presentation can be found under Related Documents and the recorded presentation can be found at the following link: and the BHA RFSA page: https://www.usaid.gov/humanitarian-assistance/partner-with-bha/bha-rfsa. 
February 26, 2024 
The Public Briefing Fiscal Year (FY) 2024 Madagascar Resilience Food Security Activity (RFSA) is now available. The presentation can be found under Related Documents and the recorded presentation can be found at the following link: https://drive.google.com/file/d/1D9ReLqYb3h43i7YgLtIl2har96xscWuV/view  and the BHA RFSA page: https://www.usaid.gov/humanitarian-assistance/partner-with-bha/bha-rfsa. 
February 14, 2024 
Round Two of the Multi-Year Annual Program Statement (MY APS) No. 720BHA23APS00002-02-MG (referred to as MY APS Round-2, RFSA, or Madagascar RFSA) is requesting the submission of applications focused on resilience and food security in Madagascar. USAID anticipates issuing up to two (2) awards under this Round. 
This round is issued under the MY APS. Unless otherwise stated herein, all terms and conditions of the MY APS apply. Please refer to the Base MY APS for additional information. While this Round is intended to be an elaboration of the information provided in the Base APS, should there be differences between the two, this MY APS Round-2 will supersede information in the Base APS. As such, both documents should be read in conjunction to ensure all application requirements are met. 
The draft round is available for public comment. 
Comments regarding this Round 02 Madagascar RFSA should be submitted in writing to: BHA.720BHA23APS00002-02.MG@usaid.gov no later than March 1, 2024 at 4:00pm EST.  
USAID/BHA will conduct a stakeholder consultation on February 22, 2024, from 9am-12pm EST for Round 02 Madagascar Resilience Food Security Activities (RFSA). 
The agenda for the stakeholder briefing is as follows: 
Welcome and Overview 
Overview of the Madagascar RFSA 
Overview of the MY APS Round 
Questions and Answers 
Closing 
BHA will conduct the briefing using a virtual format, using this call-in information:  
meet.google.com/kui-gvkw-czo or join by phone: +1 385-323-0247â€¬ PIN: â€ª145 134 253â€¬.  
More phone numbers: https://meet.google.com/tel/kui-gvkw-czo?pin=5002157298488 hs=1. 
There will be no in-person option for this briefing.â€¬â€¬ 
Participants must register by 6:00 pm EST on February 21 using this Google link: https://docs.google.com/forms/d/e/1FAIpQLScCwE2NCriRmwm1Emm1wY8-TmNrdphdqeLDJBVuxkvdXwtxLA/viewform?usp=sf_link.  
There is no limit on the number of virtual participants.  
February 16, 2024 
The Somalia Round 1 draft closed on February 16, 2024.</t>
  </si>
  <si>
    <t>Process Systems, Reaction Engineering, and Molecular Thermodynamics</t>
  </si>
  <si>
    <t>TheProcess Systems, Reaction Engineering, and Molecular Thermodynamicsprogram is part of the Chemical Process Systems cluster, which also includes: 1) theCatalysisprogram; 2) theElectrochemical Systemsprogram; and 3) theInterfacial Engineeringprogram.
_x000D_
The goal of theProcess Systems, Reaction Engineering, and Molecular Thermodynamicsprogram is to advance fundamental engineering research on the rates and mechanisms of chemical reactions, systems engineering, and molecular thermodynamics as they relate to the design and optimization of chemical reactors and the production of specialized materials that have important impacts on society.
_x000D_
The program supports the development of advanced optimization and control algorithms for chemical processes, molecular and multi-scale modeling of complex chemical systems, fundamental studies on molecular thermodynamics, and the integration of these methods and concepts into the design of novel chemical products and manufacturing processes. This program supports sustainable chemical manufacturing research on the development of energy-efficientchemical processes and environmentally-friendly chemical products through concurrent chemical product/process design methods.Sustainability is also enhanced by research that promotes the electrification of the chemical process industries over current thermally-activated processes.
_x000D_
Proposals should focus on:
_x000D_
_x000D_
Chemical reaction engineering: This area encompasses the interaction of transport phenomena and kinetics in reactive systems and the use of this knowledge in the design of chemical reactors.Research areas include(1) development of novel reactor designs, such as catalytic and membrane reactors, micro-reactors, chemical vapor and atomic layer deposition systems, (2) studies of reactions in supercritical fluids, (3) novel reaction activation techniques such as atmospheric pressure plasmas (which may be submitted under the ECLIPSE meta-program) and microwave radiation, (4) design of multifunctional and intensified systems, such as chemical-factory/lab-on-a-chip concepts, (5) nanoparticle nucleation, growth, and surface functionalization, and (6) biomass conversion to fuels and chemicals.The program also supports new approaches that enable the design of modular chemical manufacturing systems such as distributed hydrogen and ammonia production processes._x000D_
Process design, optimization, and control: This area encompasses process systems science, including the development of process modeling, design, control and optimization theory and algorithms; process development proposals are not appropriate for this program.High-priority research topics include process intensification, modular process systems, smart manufacturing, large-scale carbon dioxide capture and conversion, computational tools (including those based on quantum computing methods) enabling advanced chemical manufacturing, real-time optimization and control of large-scale chemical systems with quantitative sustainability metrics, machine learning, and optimization of enterprise-wide processes involving planning, scheduling, and real-time control to create resilient supply chains._x000D_
Reactive polymer processing: Program scope in this area is limited to research that integrates synthesis and processing to engineer specific nanoscale structures and compositions to tune the macroscopic scale properties of polymers, such as their ability to biodegrade or to be recycled. The focus is on reactive processes that address these environmental concerns while producing tailor-made macromolecular materials._x000D_
Molecular thermodynamics: This area focuses on fundamental research that combines principles of classical thermodynamics, statistical mechanics, and atomistic-scale simulations to improve chemical processing and to facilitate synthesis of novel functional materials such as catalysts, polymers, solvents, and colloids. Topics include fundamental studies on self- and directed-assembly of nanoscale-level patterned polymer films, machine-learning methods to predict structure-property relationships, large-ensemble molecular dynamics simulations, simulation of peptide self-assembly and protein interactions, and behavior of multiphase and reactive systems under nanoscale confinement. The ultimate goal of research supported by this program is to enable the development of more efficient chemical processes, improve environmental sustainability and water quality, and design functional materials with tailored properties._x000D_
_x000D_
Innovative proposals outside of these specific interest areas may be considered.However, prior to submission, it is recommended that the Principal Investigator contact the program director to avoid the possibility of the proposal being returned without review. Hypothesis-driven research plans are encouraged.
_x000D_
INFORMATION COMMON TO MOST CBET PROGRAMS
_x000D_
Proposals should address the novelty and/or potentially transformative nature 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Types of Proposals.
_x000D_
COMPLIANCE: Proposals which are not compliant with theProposal and Award Policies and Procedures Guide (PAPPG)will be returned without review.</t>
  </si>
  <si>
    <t>Cellular and Biochemical Engineering</t>
  </si>
  <si>
    <t xml:space="preserve">Synopsis
_x000D_
TheCellular and Biochemical Engineering(CBE)program is part of theEngineering Biology and Healthcluster, which also includes: 1) theBiophotonicsprogram; 2) theBiosensingprogram; 3) theDisability and Rehabilitation Engineeringprogram; and 4) theEngineering of Biomedical Systemsprogram.
_x000D_
TheCellular and Biochemical Engineeringprogram supports fundamental engineering research that advances understanding of cellular andbiomolecular processes. CBE-funded research may lead to the development of enabling technology for advanced biomanufacturing of therapeutic cells, biochemicals, and biopharmaceuticals, and for otherbiotechnology industrie.
_x000D_
The program encourages highly innovative and potentially transformative engineering research leading to novel bioprocessing and biomanufacturing approaches. Fundamental to many CBE research projects is the understanding of how biomolecules, subcellular systems, cells, and cell populations interact, and how those interactions lead to changes in structure, function, and behavior. A quantitative treatment of problems related to biological processes is considered vital to successful research projects in the CBE program.
_x000D_
Major areas of interest for the program include:
_x000D_
_x000D_
Metabolic engineering and synthetic biology for biomanufacturing,_x000D_
The design of synthetic metabolic components and synthetic cells,_x000D_
Microbiome structure, function, maintenance, and design,_x000D_
Protein and enzyme engineering, and_x000D_
Design of integrated chemoenzymatic systems._x000D_
_x000D_
The CBE program also encourages proposals that effectively integrate knowledge and practices from different disciplines while incorporating ongoing research into educational activities.
_x000D_
All proposals should include a description on the potential impact of proposed research on an associated biomanufacturing process.
_x000D_
Proposals whose core innovation involves tissue engineering, organ culture, development of models of healthy or diseased physiology, or design and application of technologies focused on the diagnosis or treatment of disease should be submitted to theEngineering ofBiomedicalSystemsprogram(CBET 5345).
_x000D_
_x000D_
_x000D_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of success in the research on society and/or industry.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Principal Investigators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
_x000D_
_x000D_
_x000D_
</t>
  </si>
  <si>
    <t>Disability and Rehabilitation Engineering</t>
  </si>
  <si>
    <t>The Disability and Rehabilitation Engineering program is part of the Engineering Biology and Health cluster, which also includes: 1) the Biophotonics program; 2) the Biosensing program; 3) the Cellular and Biochemical Engineering program; and 4) the Engineering of Biomedical Systems program.
_x000D_
The Disability and Rehabilitation Engineering program supports fundamental engineering research that will improve the quality of life of persons with disabilities through the development of new theories, methodologies, technologies, or devices. Disabilities could be developmental, cognitive, hearing, mobility, visual, selfcare, independent living, or other. Proposed projects must advance knowledge regarding a specific human disability or pathological motion or understanding of injury mechanisms.
_x000D_
Research may be supported that is directed toward the characterization, restoration, rehabilitation, and/or substitution of human functional ability or cognition, or to the interaction between persons with disabilities and their environment. Areas of particular interest are neuroengineering, rehabilitation robotics, brain-inspired assistive or rehabilitative systems, theoretical or computational methods, and novel models of functional recovery including the development and application of artificial physiological systems.
_x000D_
Emphasis is placed on significant advancement of fundamental engineering knowledge that facilitates transformative outcomes. The DARE Program encourages high-risk/high-reward proposals that surpass incremental technological improvements. The DARE Program also encourages participatory design and the inclusion of trainees with disabilities as part of the proposed research or broader impacts.
_x000D_
Innovative proposals outside of the above specific interest areas may be considered. However, prior to submission, it is recommended that the PI contact the Program Director to avoid the possibility of the proposal being returned without review.
_x000D_
NSF does not support clinical trials; however, feasibility studies involving human volunteers may be supported if appropriate to the project objectives. The development and application of artificial physiological systems that do not model functional recovery and instead improve fundamental understanding of physiological and pathophysiological processes would be appropriate for EBMS.
_x000D_
Furthermore, the DARE program does not support proposals having as their central theme commercialization of a product. Small businesses seeking early stage R D funding for product development are encouraged to contact the NSF SBIR/STTR program in the America's Seed Fund within the Directorate for Technology, Innovation and Partnerships (TIP).
_x000D_
INFORMATION COMMON TO MOST CBET PROGRAMS
_x000D_
Proposals should address the novelty and/or potentially transformative nature of the proposed work compared to previous work in the field. Also, it is important to address why the proposed work is important in terms of engineering science, as well as to also project the potential impact of success in the research on society and/or industry.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 (awards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 (CAREER) program proposals are strongly encouraged. Award duration is five years. 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 Facilitation Awards For Scientists And Engineers With Disabilities (FASED), EArly-concept Grants for Exploratory Research (EAGER), and Rapid Response Research (RAPID) are also considered when appropriate. Please note that proposals of these types must be discussed with the program director before submission. Grant Opportunities for Academic Liaison with Industry (GOALI) proposals that integrate fundamental research with translational results and are consistent with the application areas of interest to each program are also encouraged. Please note that FASED, EAGER, RAPID, and GOALI proposals can be submitted anytime during the year. Details about FASED, EAGER, RAPID, and GOALI are available in the Proposal   Award Policies   Procedures Guide (PAPPG), Part 1, Chapter II, Section E: Types of Proposals.
_x000D_
Compliance: Proposals that are not compliant with the Proposal   Award Policies   Procedures Guide (PAPPG) will be returned without review.</t>
  </si>
  <si>
    <t>Engineering of Biomedical Systems</t>
  </si>
  <si>
    <t>TheEngineering of Biomedical Systemsprogram is part of the Engineering Biology and Health cluster, which also includes: 1) theBiophotonicsprogram; 2) theBiosensingprogram; 3) theCellular and Biochemical Engineeringprogram; and 4) theDisability and Rehabilitation Engineeringprogram.
_x000D_
The goal of theEngineering of Biomedical Systems(EBMS) program is to provide opportunities for fundamental and transformative research projects that integrate engineering and life sciences to solve biomedical problems and serve humanity in the long term. Projects are expected to use an engineering framework (for example, design or modeling) that supports increased understanding of physiological or pathophysiological processes. Projects must include objectives that advance both engineering and biomedical sciences.
_x000D_
Projects may include: methods, models, and enabling tools applied to understand or control living systems; fundamental improvements in deriving information from cells, tissues, organs, and organ systems; or new approaches to the design of systems that include both living and non-living components for eventual medical use in the long term.
_x000D_
TheEBMS programsupports fundamental and transformative research in the following areas of biomedical engineering:
_x000D_
_x000D_
Developmentof validated models (living or computational) of healthy and pathological tissues and organ systems that can support improved fundamental understanding of these systems or that could be applied in the future for development and testing of medical interventions;_x000D_
Designand validation of systems that integrate living and non-living componentsfor improved understanding of physiology that could be applied in the future for diagnosis, monitoring, and treatment ofdisease or injury;_x000D_
Design and subsequent application of technologies andtools toinvestigate fundamental physiological and pathophysiological processes;_x000D_
Advancedbiomanufacturing of three-dimensional tissues and organs; and_x000D_
Application of engineering tools and principles, including mathematical modeling, to quantitatively study the immune system in health and disease and to develop techniques for controlling and modulating a host s immune response to challenges such as infectious diseases, cancer, implants, autoimmune disorders, wounds, etc._x000D_
_x000D_
The long-term impact of the projects can be related to effective disease diagnosis and/or treatment, or improved health care delivery. However, immediate goals should focus on improved fundamental understanding of cell and tissue function in normal or pathological conditions and advancing biomedical engineering.
_x000D_
Innovative proposals outside of these specific areas of biomedical engineering may be considered.However, prior to submission, it is strongly recommended that the PIs contact the program director to avoid the possibility of the proposal being returned without review. Related programs also fund biomedical engineering research, and PIs are encouraged to examine these to find the appropriate program for submission.
_x000D_
The EBMS program does not support proposals having as their central theme drug design and delivery, the development of biomedical devices that do not include a living biological component, or thedevelopment of animal models of disease.For consideration by the EBMS program, proposals that advance the design of tools or technologies should also apply those technologies to advance knowledge in biomedical science. NSF does not support clinical trials; however, feasibility studies involving human volunteers may be supported if appropriate to the project objectives.
_x000D_
Projects with a central focus on design or optimization of a device, material, algorithm, or process alone without exploring new fundamental biomedical science are not appropriate for the EBMS program. Furthermore, although research on biomaterials, cellular biomechanics, manufacturing systems, or algorithm/device design may constitute a part of the proposed studies, such research can be more appropriately targeted to other NSF programs:
_x000D_
_x000D_
Projects that aim to improve protein engineering or cellular biomanufacturing - either manufacturing cells or cell-derived products - should consider the Cellular and Biochemical Engineering (CBE) program._x000D_
Projects that focus on the development and application of microphysiological systems that model functional recovery related to a specific human disability or injury mechanism should consider the Disability and Rehabilitation Engineering (DARE) program._x000D_
Biomaterials-focused projects should consider the Biomaterials (BMAT) program in the Division of Materials Research (DMR)._x000D_
Cellular and tissue biomechanics projects should consider the Biomechanics and Mechanobiology (BMMB) program in the Division of Civil, Mechanical, and Manufacturing Innovation (CMMI)._x000D_
Manufacturing systems proposals should consider the Advanced Manufacturing(AM) program in the Division of Civil, Mechanical, and Manufacturing Innovation (CMMI)._x000D_
Innovative research on signal processing techniques or dynamic biosensing systems should consider the Communications, Circuits, and Sensing-Systems (CCSS) program in the Division of Electrical, Communications and Cyber Systems (ECCS)._x000D_
Innovative research on novel devices based on the principles of electronics, optics and photonics, optoelectronics, magnetics, opto- and electromechanics, electromagnetics, and related physical phenomena, also including material-device interaction, should consider the Electronics, Photonics and Magnetic Devices (EPMD) Program in the Division of Electrical, Communications and Cyber Systems (ECCS)._x000D_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of success in the research on society and/or industry.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t>
  </si>
  <si>
    <t>Energy, Power, Control, and Networks</t>
  </si>
  <si>
    <t xml:space="preserve">The Energy, Power, Control, andNetworks (EPCN) Program supports innovative research in modeling, optimization, learning, adaptation, and control of networked multi-agent systems, higher-level decision making, and dynamic resource allocation, as well as risk management in the presence of uncertainty, sub-system failures, and stochastic disturbances. EPCN also invests in novel machine learning algorithms and analysis, adaptive dynamic programming, brain-like networked architectures performing real-time learning, and neuromorphic engineering. EPCN s goal is to encourage research on emerging technologies and applications including energy, transportation, robotics, and biomedical devices   systems. EPCN also emphasizes electric power systems, including generation, transmission, storage, and integration of renewable energy sources into the grid; power electronics and drives; battery management systems; hybrid and electric vehicles; and understanding of the interplay of power systems with associated regulatory   economic structures and with consumer behavior.
_x000D_
Areas managed by Program Directors (please contact Program Directors listed in the EPCN staff directory for areas of interest):
_x000D_
Control Systems
_x000D_
_x000D_
Distributed Control and Optimization_x000D_
Networked Multi-Agent Systems_x000D_
Stochastic, Hybrid, Nonlinear Systems_x000D_
Dynamic Data-Enabled Learning, Decision and Control_x000D_
Cyber-Physical Control Systems_x000D_
Applications (Biomedical, Transportation, Robotics)_x000D_
_x000D_
Energy and Power Systems
_x000D_
_x000D_
Solar, Wind, and Storage Devices Integration with the Grid_x000D_
Monitoring, Protection and Resilient Operation of Grid_x000D_
Power Grid Cybersecurity_x000D_
Market design, Consumer Behavior, Regulatory Policy_x000D_
Microgrids_x000D_
Energy Efficient Buildings and Communities_x000D_
_x000D_
Power Electronics Systems
_x000D_
_x000D_
Advanced Power Electronics and Electric Machines_x000D_
Electric and Hybrid Electric Vehicles_x000D_
Energy Harvesting, Storage Devices and Systems_x000D_
Innovative Grid-tied Power Electronic Converters_x000D_
_x000D_
Learning and Adaptive Systems 
_x000D_
_x000D_
Neural Networks_x000D_
Neuromorphic Engineering Systems_x000D_
Data analytics and Intelligent Systems_x000D_
Machine Learning Algorithms, Analysis and Applications_x000D_
</t>
  </si>
  <si>
    <t>Tobacco Regulatory Science (R01 Clinical Trial Optional)</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</si>
  <si>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</si>
  <si>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Notice of Funding Opportunity Announcement (NOFO) is to invite R01 applications to support biomedical and behavioral research that will provide scientific data to inform the regulation of tobacco products to protect public health. Research Projects must address the research priorities related to the regulatory authority of the Food and Drug Administration (FDA) Center for Tobacco Products (CTP). The awards under this NOFO will be administered by NIH using funds that have been made available through FDA CTP and the Family Smoking Prevention and Tobacco Control Act (P.L. 111-31). Research results from this NOFO are expected to generate findings and data that are directly relevant to informing the FDA's regulation of the manufacture, distribution, and marketing of tobacco products to protect public health.</t>
  </si>
  <si>
    <t>Biological Testing Facility (X01 Clinical Trial Not Allowed)</t>
  </si>
  <si>
    <t>The purpose of this funding opportunity announcement (FOA) is to provide investigators with a mechanism to request services from this facility that would advance their contraceptive development program. This FOA aims to position innovative and validated methods for future clinical development. Applicants do not need to have current NIH funding to apply, but priority may be given to programs receiving NIH support at the time of application submission.</t>
  </si>
  <si>
    <t>USAID Climate Resilient Agriculture in the Mekong Delta</t>
  </si>
  <si>
    <t>USAID-VIE</t>
  </si>
  <si>
    <t>USAID-VIETNAM</t>
  </si>
  <si>
    <t>The United States Agency for International Development in Vietnam (USAID/Vietnam) is seeking applications from qualified entities to implement the USAID Climate Resilient Agriculture in the Mekong Delta. The goal of the Activity is to advance low-emissions, climate-resilient agricultural livelihoods combined with biodiversity conservation to support carbon sequestration, healthy ecosystems, and resilience of vulnerable communities in the Mekong Delta.</t>
  </si>
  <si>
    <t>FY 2023 Disaster Supplemental</t>
  </si>
  <si>
    <t>DOC-EDA</t>
  </si>
  <si>
    <t>Economic Development Administration</t>
  </si>
  <si>
    <t>County governments District Organization; Indian Tribe or a consortium of Indian Tribes; State, county, city, or other political subdivision of a State, including a special purpose unit of a State or local government engaged in economic or infrastructure development activities, or a consortium of political subdivisions; Institution of higher education or a consortium of institutions of higher education; or Public or private non-profit organization or association acting in cooperation with officials of a political subdivision of a State. The project of an eligible applicant must be able to meet area eligibility requirements to be considered for funding under this Disaster Supplemental NOFO. Such eligibility is predicated upon the project being located in or primarily serving one or more communities impacted by Hurricanes Ian and Fiona, and of wildfires, flooding, and other natural disasters occurring in calendar years 2021 and 2022. More specifically, consistent with 13 C.F.R. parts 301 and 307, EDA will determine area eligibility pursuant to the applicable Federal disaster declaration under the Stafford Act, and the Federal Emergency Management Agency (FEMA) designation of areas as eligible for public assistance or individual assistance due to the declared disasters listed on FEMA s website (www.fema.gov/disaster/). For construction projects (including design and engineering), the project must be located within an eligible county. For non-construction projects, the project s scope of work must primarily benefit eligible counties, and stakeholders representing those eligible counties must be directly engaged in the project.</t>
  </si>
  <si>
    <t xml:space="preserve">Subject to the availability of funds, awards made under this NOFO will help communities and regions devise and implement long-term economic recovery strategies through a variety of non-construction and construction projects, as appropriate, to address economic challenges in areas where a Presidential declaration of a major disaster was issued under the Robert T. Stafford Disaster Relief and Emergency Assistance Act (42 U.S.C. Â§ 5121 et seq.) (Stafford Act) â€œas a result of Hurricanes Ian and Fiona, and of wildfires, flooding, and other natural disasters occurring in calendar years 2021 and 2022â€¦.â€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Starting April 6, 2023, applications will no longer be accepted on Grants.gov, and will ONLY be accepted through EDGE (sfgrants.eda.gov). To apply for the FY 2023 Disaster Supplemental NOFO, please access the portal here. More information on how to apply is provided in the full NOFO. </t>
  </si>
  <si>
    <t>Infrastructure Capacity for Biological Research</t>
  </si>
  <si>
    <t>The Infrastructure Capacity for Biological Research (Capacity) Program supports the implementation of, scaling of, or major improvements to research tools, products, and services that advance contemporary biology in any research area supported by the Directorate forBiological Sciences at NSF. The Capacity Program focuses on building capacity in research infrastructure that is broadly applicable to a wide range of researchers in three programmatic areas: Cyberinfrastructure, Biological Collections, and Biological Field Stations and Marine Laboratories. This program will also accept proposals for planning activities or workshops to facilitate coordination that may be necessary in building capacity in infrastructure that meets the needs of a research community. Areas not included in this program are instrumentation (PIs should submit to the MRI program) and, projects that develop infrastructure for a specific research project, laboratory, or institution (PIs should submitted to the relevant BIO programs that would normally support that research). Projects are expected to produce quality products, result in important science outcomes that will be achieved by the users of the resource, be openly accessible to a broad scientific and education community, and serve a community of researchers beyond a single research team.</t>
  </si>
  <si>
    <t>Infrastructure Innovation for Biological Research</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</si>
  <si>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There are no restrictions or limits.</t>
  </si>
  <si>
    <t>The Infrastructure Innovation for Biological Research Program (Innovation) supports research to design novel or greatly improved research tools and methods that advance contemporary biology in any research area supported by the Directorate forBiological Sciences at NSF. The Innovation Program focuses on research infrastructure that is broadly applicable to researchers in three programmatic areas: Bioinformatics, Instrumentation, and Research Methods. Infrastructure supported by this program is expected to advance biological understanding by improving scientists  abilities to manipulate, control, analyze, or measure critical aspects of biological systems, which can be essential for addressing important fundamental research questions. Proposals submitted to these programmatic areas can do one of three things to advance or transform research in biology: develop novel infrastructure, significantly redesign existing infrastructure, or adapt existing infrastructure in novel ways. Projects are expected to have a significant application to one or more biological science questions and have the potential to be used by a community of researchers beyond a single research team.
_x000D_
Please refer to the descriptions of individual programmatic areas for detailed guidance on what is supported through this solicitation (see links below).</t>
  </si>
  <si>
    <t>BIPARTISAN INFRASTRUCTURE LAW (BIL) ASSISTING FEDERAL FACILITIES WITH ENERGY CONSERVATION TECHNOLOGIES (AFFECT) ADVANCING NET-ZERO FEDERAL FACILITIES</t>
  </si>
  <si>
    <t>Others (see text field entitled "Additional Information on Eligibility" for clarification) This Federal Agency Call is available to federal agencies ONLY. Only U.S. federal agencies (including sub-agencies) are eligible to apply for funding under this FAC. Only facilities that are owned by the U.S. federal government are eligible for funding under this FAC.</t>
  </si>
  <si>
    <t>BIPARTISAN INFRASTRUCTURE LAW (BIL) ASSISTING FEDERAL FACILITIES WITH ENERGY CONSERVATION TECHNOLOGIES (AFFECT) ADVANCING NET-ZERO FEDERAL FACILITIES
 Modification 0004 - See the Modification table in the FAC. Changes from modification 0004 are highlighted in yellow.
 Modification 0003 - See the Modification table in the FAC. Changes from modification 0003 are highlighted in yellow.
 Modification 0002 - See the Modification table in the FAC. Changes from modification 0002 are highlighted in grey.
 Modification 0001 - See the Modification table in the FAC. Changes from modification 0001 are highlighted in grey.
 The Energy Policy Act of 1992 authorized the Secretary of Energy to establish a fund with the stated purpose of providing competitive grants to federal agencies to assist them in meeting the energy and water conservation requirements in Section 543 of the National Energy Conservation Policy Act (NECPA), as amended (42 U.S.C. Â§ 8253). Through this authority, the U.S. Department of Energy (DOE) Federal Energy Management Program (FEMP) created the Assisting Federal Facilities with Energy Conservation Technologies (AFFECT) program to provide funding to federal agencies for the development of energy and water saving technologies and to meet federal mandates. Pursuant to 42 U.S.C. Â§ 8256 (b)(3), FEMP will make selections and awards under this Federal Agency Call (FAC) through a competitive process, with agency applications evaluated against the Technical Review Criteria set forth in Sections V.A and V.C.
 Section 40554 of the Infrastructure Investment and Jobs Act (IIJA), also known as the Bipartisan Infrastructure Law (BIL), authorized to be appropriated to the Secretary of Energy to provide grants authorized under section 42 U.S.C. Â§ 8256 (b), $250 million for fiscal year 2022, to remain available until expended. FEMP intends to award the $250 million authorized under BIL through this AFFECT BIL FAC.
 FEMP is seeking to make awards that support achievement of the Administrationâ€™s goals for federal leadership as described in Section 543 of NECPA, as amended through the Energy Act of 2020 (EA2020) and codified in 42 U.S.C. Â§ 8253, Executive Order (E.O.) 14057, Catalyzing Americaâ€™s Clean Energy Economy Through Federal Sustainability and E.O. 14008, Tackling the Climate Crisis at Home and Abroad.
 This AFFECT BIL FAC seeks applications from federal agencies for projects that will create individual showcase facilities and/or multi-site deployment projects that contribute to a net-zero building portfolio. These showcase facilities and multi-site deployment projects will serve as models for future replicability and/or scalability to develop and continue a long-term net-zero building strategy. Applications are sought from federal agencies that are in alignment with the four Topic Areas:
 Topic Area 1A: Assistance with Net-Zero Buildings Project Development
 Topic Area 1B: Assistance with Net-Zero Buildings Program/Procedures Development
 Topic Area 2: Modify Existing Projects for Net-Zero Buildings
 Topic Area 3: New/In Development Net-Zero Buildings Projects
 Submission Deadlines:
 Summer 2023 - May 31, 2023
 Spring 2024 - June 27, 2024
 Spring 2025 - April 18, 2025
 The full FAC is posted on the Infrastructure Exchange website at https://infrastructure-exchange.energy.gov/. To apply to this FAC, Applicants must register with and submit application materials through the Exchange online application portal.
 Information on where to submit questions regarding the content of the announcement and where to submit questions regarding submission of applications is found in the full FAC posted on the Infrastructure Exchange website.</t>
  </si>
  <si>
    <t>Combustion and Fire Systems</t>
  </si>
  <si>
    <t>TheCombustion and Fire Systemsprogram is part of the Transport Phenomena cluster, which also includes 1) theFluid Dynamicsprogram; 2) theParticulate and Multiphase Processesprogram; and 3) theThermal Transport Processesprogram.
_x000D_
The goal of theCombustion and Fire Systemsprogram is tocreate new knowledge to support advances in clean energy, climate change mitigation, a cleaner environment and public safety.
_x000D_
The program endeavors to createfundamental scientific knowledge that is needed for safe, clean and useful combustion applications and for mitigating the effects of fire.The program aims to identify and understand the controlling basic principles and to use that knowledge to create predictive capabilities for designing and optimizing practical combustion devices and understanding fire.
_x000D_
Important outcomesfor this program include:
_x000D_
_x000D_
broad-based tools   experimental, theoretical, andcomputational   that can be applied to a variety of problems in combustion technologies and fire;_x000D_
science and technology for clean and efficient generation of power;_x000D_
discoveries that enable clean environments (for example, by reduction in combustion-generated pollutants); and_x000D_
enhanced public safety and climate change mitigation through research on wildland and building fire growth, inhibition, and suppression._x000D_
_x000D_
Research areas of interest for this program include:
_x000D_
_x000D_
Basic combustion science: Combustion of gas, liquid, and solid fuels over abroad range of temperatures, pressures, and compositions; combustion at supercritical conditions; advanced propulsion concepts; flame synthesis ofmaterials; integration of fuel design and combustion; control of reaction pathways; development of chemical kinetics models, analytical and numerical predictive methods, and advanced diagnostic tools._x000D_
Combustionscience related to clean energy: Increasing efficiency and reducing pollution; production and use of renewable and/or carbon-free fuels; biomass pyrolysis, gasification, and oxidation; technologies such as oxy-fuel combustion and chemical looping combustion for carbon capture._x000D_
Fireprevention: Improved understanding of building and wildland fires to prevent their spread, inhibit their growth, and suppress them; prediction and mitigation of fires in the wildland-urban interface._x000D_
Turbulence-chemistry interactions:Fundamental understanding of turbulent flow interactions with finite-rate chemical kinetic pathways at high Reynolds and Karlovitz number conditions, including but not limited to: (1) fundamental experiments to generate physico-chemical data to reduce theuncertainty of combustion chemistry and turbulent combustion models; (2)spatially/temporally well-resolved, multi-scale/multi-physics computations;novel approaches of developing embedded multi-scale direct numericalsimulation (DNS) of complex geometries and data-assimilations forincorporating measured data from the state-of-art in situ diagnostic approaches; (3) other innovative approaches on development and validation of predictive computational methods. NOTE: This is an NSF-AFOSR (Air Force Office of Scientific Research) joint funding area. Proposals will be jointly reviewed by NSF and AFOSR using the NSF merit reviewprocess.Actual funding format and agency split for an award(depending on availabilityof funds) will be determined after the proposal selection process. The AFOSR program that participates in this initiative is the program on Energy, Combustion, and Nonequilibrium Thermodynamics._x000D_
_x000D_
Innovative proposals outside of these specific interest areas may be considered.However, prior to submission, it is recommended that the Principal Investigator contact the program director to avoid the possibility of the proposal being returned without review.
_x000D_
_x000D_
_x000D_
INFORMATION COMMON TO MOST CBET PROGRAMS
_x000D_
_x000D_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 that are not compliant with theProposal   Award Policies   Procedures Guide (PAPPG)will be returned without review.</t>
  </si>
  <si>
    <t>Faculty Development in geoSpace Science</t>
  </si>
  <si>
    <t>Others (see text field entitled "Additional Information on Eligibility" for clarification) *Who May Submit Proposals: Proposals may only be submitted by the following:
  -
Institutions of Higher Education (IHEs) - Two- and four-year IHEs (including community colleges) accredited in, and having a campus located in the United States, acting on behalf of their faculty members. Proposing institutions are those that offer or plan to offerbachelor, masters or doctoral degrees in natural sciences or engineering or related sciences.The institution must be able to grant tenure status to faculty.
* Track 1   Any eligible IHE (as described above) br / * Track 2 - Only minority-serving institutions (MSIs) and emerging research institutions (ERIs) among IHEs as described above.
This solicitation adopts the U.S. Department of Education definition of MSIs to be U.S. IHEs enrolling populations with significant percentages of undergraduate minority students, or that serve certain populations of minority students under various programs created by Congress. These include Historically Black Colleges or Universities (HBCUs), Hispanic-Serving Institutions (HSIs), Tribal Colleges or Universities (TCUs), and Asian American and Native American Pacific Islander-Serving Institutions (AANAPISIs).
For the purposes of this solicitation, ERIs are IHEs that have less than $50,000,000 in annual Federal research expenditures averaged over the previous 5 fiscal years at the time of proposal submission.
 br / Institutions that have previously received an NSF FDSS award are ineligible to submit proposals to this solicitation.
*Who May Serve as PI:
Principal Investigators should be someone at the IHE with the authority to implement the proposed FDSS program and select and hire the new faculty member. These may be, but are not limited to, a dean, provost, director of a university associated research institute, department chairperson, or a senior tenured faculty member.</t>
  </si>
  <si>
    <t>The Geospace Section of the NSF Division of Atmospheric and Geospace Sciences (AGS) offers funding for the creation of new tenure-track faculty positions within the disciplines that comprise the AGS Geospace programs to ensure their vitality at U.S. universities and colleges. The aim of the Faculty Development in geoSpace Science (FDSS) is to integrate topics in geospace science including solar and space physics and space weather research into natural sciences or engineering or related departments at U.S. institutions of higher education (IHE). FDSS also stimulates the development of undergraduate or graduate programs or curricula capable of training the next generation of leaders in geospace science. Geospace science is interdisciplinary in nature and FDSS awardees will be expected to establish partnerships within multiple parts of the IHE. NSF funding will support the salary, benefits and training of the newly recruited tenure-track FDSS faculty member for a duration of up to five years with a total award amount not to exceed $1,500,000.Growing diversity in the geospace science workforce and institutions is a community priority, yet relatively few geospace science research and training opportunities are available at minority-serving institutions (MSIs) and emerging research institutions (ERIs). One of NSF s priorities is to improve representation in the scientific enterprise. FDSS aims to bolster long-term investments in geospace science at a broad range of U.S. IHEs, including MSIs and ERIs. This solicitation offers a track for all qualified U.S. IHEs and additionally, a separate track for proposal submissions from MSIs and ERIs.</t>
  </si>
  <si>
    <t>Diagnostic Centers of Excellence (X01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</si>
  <si>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</si>
  <si>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this funding opportunity announcement (FOA) is to provide investigators with access to resources provided by the Data Management Coordinating Center for Diagnostic Centers of Excellence (RFA-NS-22-051), as part of the next phase of the Undiagnosed Diseases Network. Resources include infrastructure, data management, and clinical research support for a new Network of clinical sites that provide diagnostic services for patients with undiagnosed diseases.</t>
  </si>
  <si>
    <t>Nanoscale Interactions</t>
  </si>
  <si>
    <t>TheNanoscale Interactionsprogram is part of theEnvironmental Engineering and Sustainabilitycluster, which also includes: 1) theEnvironmental Engineeringprogram; and 2) theEnvironmental Sustainabilityprogram.
_x000D_
The goal of theNanoscale Interactionsprogram is to support research toadvance fundamental and quantitative understanding of the interactions of nanomaterials and nanosystems with biological andenvironmental media.
_x000D_
Materials of interest include one- to three-dimensional nanostructures, heterogeneous nano-bio hybrid assemblies, dendritic and micelle structures, quantum dots, and other nanoparticles.Such nanomaterials and systems frequently exhibit novel physical, chemical, photonic, electronic, and biological behavior as compared to the bulk scale. Collaborative and interdisciplinary proposals are encouraged.
_x000D_
Research areas supported by the program include:
_x000D_
_x000D_
Characterizationof interactions at the interfacesof nanomaterials and nanosystems,including both simple nanoparticles andcomplex and/or heterogeneouscomposites and nanosystems, with surrounding biological and environmental media;_x000D_
Developmentof predictive toolsbased on the fundamental behavior ofnanostructures to advancecost-effective and environmentally benignprocessing and engineeringsolutions over full-life material cycles;_x000D_
Examinationof the transport, interaction, and impact of nanostructured materials andnanosystems on biological systems and the environment;_x000D_
Simulationsof nanoparticle behavior at interfaces, in conjunction with experimentalcomparisons, and new theories and simulation approaches for determiningthe transport and transformation of nanoparticles in various media; and_x000D_
Investigations of quantum vibronic and spin phenomena with correlations to nano phenomena._x000D_
_x000D_
The Nanoscale Interactions program will support exploratory research projects on nanoscale interactions of quantum effects which explain macroscopic changes and physiological and metabolic processes; investigate quantum vibration and electron spin to elucidate nano phenomena and produce quantitative data and evidence of quantum effects.
_x000D_
Research in these areas will enable the design of nanostructured materials and heterogeneous nanosystems with desired chemical, electronic, photonic, biological, and mechanical properties for optimal and sustainable handling, manufacture, and utilization.
_x000D_
NOTE:Studies that focus on fundamental research concerning atomic- and molecular-scale interfacial phenomena and engineering of interfacial properties, processes, and materials, particularly as relevant towards advancing industrial chemical or biochemical processes, may be more appropriate for theInterfacial Engineeringprogram (CBET 1417). Please consult with program directors prior to submission if you have questions about programmatic fit.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E:Types of Proposals.
_x000D_
Compliance: Proposals that are not compliant with theProposal   Award Policies   Procedures Guide (PAPPG)will be returned without review.</t>
  </si>
  <si>
    <t>Thermal Transport Processes</t>
  </si>
  <si>
    <t>TheThermal Transport Processesprogram is part of the Transport Phenomena cluster, which alsoincludes1) theCombustion and Fire Systemsprogram; 2) theFluid Dynamicsprogram; and 3) theParticulate and Multiphase Processesprogram.
_x000D_
TheThermal Transport Processesprogram supports engineering research projects that lay the foundation for newadvances in thermal transport phenomena. These projects should either develop new fundamental knowledge or combine existing knowledge in thermodynamics, fluid mechanics, and heat and mass transfer to probe new areas of innovation in thermal transport processes. The program seeks transformative projects with the potential for improvingbasic understanding, predictability and application of thermal transport processes. Projects should articulate the contribution(s) to the fundamental knowledge supporting thermal transport processes and state clearly the potential application(s) impact when appropriate.Projects that combine analytical, experimental and numerical efforts, geared toward understanding, modeling and predicting thermal phenomena, are of great interest.Collaborative and interdisciplinary proposals for which the main contribution is in thermal transport fundamentals are also encouraged. Emphasis is placed on research that demonstrates how thermal transport phenomena affect the existence, behavior and dynamics of components and systems.Priority is given to insightful investigations of fundamental problems with clearly defined economic, environmental and societal impacts.
_x000D_
Some specific areas of interest include:
_x000D_
_x000D_
Convection/diffusion/radiation: Heat and mass transport incomplex structures and surfaces;thermal-related turbulence; development of form-functionrelationships in thermal processes; thermal design methodology; phonon transport and interactions between energy carriers; radiationamplification, controlling, and extinction; interfacial gas-solid andliquid-solid thermal and species-driven phenomena._x000D_
Thermodynamics: Thermal-electric energy conversion; battery-related thermal issues; power generation and propulsion; phase-change and supercritical energy cycles;non-equilibriumthermal processes._x000D_
Biologicalheatand mass transport: Biomimicry;intra- andextra-cellular heat and mass transport; freeze resistancemechanisms;thermotherapy and thermoregulation; organ conservation(freezing and thawing); mass transport in biomedical and health systems._x000D_
Nanothermics,microthermics,and mesothermics: Scaling upnanoscale heat transport processes or coupledheat-mass transport processes; utilization ofnew multi-functional, meta- and graded-materials in thermal transport;nano-texturingand phase-change; multi-scale thermal transport in aprocess._x000D_
Thermal solutions to climate change: Decarbonizing industrial processes; novel heating and cooling technologies with minimal greenhouse gas emissions; thermal-driven clean energy concepts; thermal and thermochemical energy storage; waste heat recovery and transmission; thermal science and technology to enable electrification of energy services._x000D_
Thermal science and quantum technology interface: Quantum sensors for thermal measurements;quantum computing for thermal sciences;thermodynamics and novel cryogenic cooling concepts for quantum devices;thermal transport in quantum materials and quantum phenomena; thermal solutions for next-generation qubits, qubit coupling, and quantum information storage._x000D_
New metrology and artificial intelligence (AI)/machinelearning methodologies in thermal sciences: Advanced thermal imagingand measurement techniques for high-resolutionin situthermal imaging and non-invasive temperature measurement; novel AI/machine learning methodologies and other data-intensive approaches that can be coupled with physics-based models and/or experiments to enable new understanding and discoveries in thermal transport processes._x000D_
_x000D_
NOTE: Proposalsincluding chemical kinetics should be submitted to the ENG/CBETCombustion and FireSystemsprogram. Proposals dealing mainly with materials synthesis, processing and characterization should be directed to the ENG/CMMIAdvanced Manufacturingprogram or the Division of Materials Research (DMR) in the Directorate for Mathematical and Physical Sciences (MPS). Proposals at the interface of computational/mathematical sciences and thermal transport are encouraged but should be submitted to theComputational and Data-Enabled Science   Engineering(CDS E) program.
_x000D_
Proposals seeking the utilization of the International Space Station U.S. National Laboratory should follow the instructions in the NSF/CASIS solicitations (e.g., NSF 22-539). Proposals related to the Air Force Office of Scientific Research (AFOSR) general area of thermal transport properties of novel materials and heterostructures should be submitted as regular proposals to theThermal Transport Processesprogram. Those proposals may be jointly reviewed by NSF and AFOSR using the NSF merit review process. Actual funding format and agency split for an award (depending on availability of funds) will be determined after the proposal selection process. Proposals related to the Department of Energy (DOE) general area of thermal and thermochemical energy storage materials and processes should be submitted as regular proposals to theThermal Transport Processesprogram. In these cases, the PI should contact the program director to confirm suitability of the topic prior to submitting the proposal. Innovative proposals outside of these specific interest areas may be considered.However, prior to submission, it is recommended that the PI contact the program director to avoid the possibility of the proposal being returned without review.
_x000D_
Innovativeproposals outside of these specific interest areas may be considered.However,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 that are not compliant with theProposal   Award Policies   Procedures Guide (PAPPG)will be returned without review.</t>
  </si>
  <si>
    <t>Particulate and Multiphase Processes</t>
  </si>
  <si>
    <t>TheParticulate and Multiphase Processesprogram is part of the Transport Phenomena cluster, which also includes 1) theCombustion and Fire Systemsprogram; 2) theFluid Dynamicsprogram; and 3) theThermal Transport Processesprogram.
_x000D_
Thegoal of theParticulate and Multiphase Processesprogram is to support fundamental research on physico-chemical phenomena that govern particulate and multiphase systems, including flow of suspensions, drops and bubbles, granular and granular-fluid flows, behavior of micro- and nanostructured fluids, unique characteristics of active fluids, and self assembly/directed-assembly processes that involve particulates.The program encourages transformative research to improve our basic understanding of particulate and multiphase processes with emphasis on research that demonstrates how particle-scale phenomena affect the behavior and dynamics of larger-scale systems.Although proposed research should focus on fundamentals, a clear vision is required that anticipates how results could benefit important applications in advanced manufacturing, energy harvesting, transport in biological systems, biotechnology, or environmental sustainability.Collaborative and interdisciplinary proposals are encouraged, especially those that involve a combination of experiment with theory and/or modeling.
_x000D_
Major research areas of interest in the program include:
_x000D_
_x000D_
Multiphase flow phenomena:Dynamics ofparticle/bubble/droplet systems,behavior of structured fluids (colloids/ferro-fluids), granular flows, rheology of multiphase systems, unique characteristics of active fluids in novel applications, and newl approaches that relate micro- and nanoscale phenomena to macroscale properties and process-levelvariables._x000D_
Particlescience and technology:Aerosols, production of particles andpolymer-particle complexes with engineered properties, self-assembly,directed assembly, and template-directed assembly of particles into functional materials and devices._x000D_
Multiphase transport in biological systems:Analysis of physiological processes, applications of functionalized nanostructures in clinical diagnostics andtherapeutics._x000D_
Interfacial transport:Dynamics of particles and macromolecules at interfaces, kinetics of adsorption and desorption of nanoparticles and surfactants and their spatial distributions at interfaces, complex molecular interactions at interfaces, formation of interfacial complexes that affect the dynamics of particles._x000D_
_x000D_
NOTE: Proposals that explore fluid-structure interactions involving electrodes in engineering applications such as energy storage should be directed to ENG/CBETElectrochemical Systemsprogram.Proposals that involve drops or bubbles bouncing off solid surfaces should be directed toward ENG/CBETFluid Dynamicsprogram. Proposals that deal with engineered surfaces forcarrying out chemical or biochemical reactions or separations should be directed to ENG/CBETInterfacial Engineeringprogram.Proposals dealing mainly with particle synthesis may be more suitable forthe ENG/CMMIAdvanced Manufacturingprogram or the Division of Materials Research (DMR) in the Mathematical and Physical Sciences (MPS) Directorate.
_x000D_
Innovative proposals outside of these specific interest areas may be considered; however, prior to submission, it is recommended that the PI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Proposalsthat are not compliant with theProposal   Award Policies   Procedures Guide (PAPPG)will be returned without review.</t>
  </si>
  <si>
    <t>Interfacial Engineering</t>
  </si>
  <si>
    <t>The Interfacial Engineering program is part of the Chemical Process Systems cluster, which also includes: 1) the Catalysis program; 2) the Electrochemical Systems program; and 3) the Process Systems, Reaction Engineering, and Molecular Thermodynamics program.
_x000D_
The goal of the Interfacial Engineering program is to support fundamental research on atomic- and molecular-scale interfacial phenomena and engineering of interfacial properties, processes, and materials. Fundamental understanding of the thermodynamic, kinetic, and transport properties of interfacial systems underpins improvements in chemical process efficiency and resource utilization. As such, proposed research should have a clear vision for how the results will translate to practice in or otherwise advance industrial chemical or biochemical processes. The program encourages proposals that present new approaches to long-standing challenges or address emerging research areas and technologies. Collaborative and interdisciplinary proposals are also encouraged, particularly those that involve a combination of experiment with theory or modeling.
_x000D_
Major research areas of interest in the program include:
_x000D_
_x000D_
Chemical separations: Design of scalable mass separating agents (for example, sorbents and membranes); field-induced separation processes that target a significant reduction in energy and/or materials requirements_x000D_
Biological separations: Downstream processing of biologically-derived chemicals, therapeutic proteins, and biologics for increased throughput and purity; engineering interfaces for molecular recognition_x000D_
Interfacial phenomena at engineered interfaces and surfaces: Kinetics and thermodynamics of adsorption/desorption and complex interactions of molecules and ions at engineered interfaces and surfaces within chemical process systems_x000D_
Nanoconfinement and engineered surfaces: Theory, modeling, and/or approaches for examining transport and thermodynamic properties of fluids within nanopores, under nanoconfinement, or at highly engineered surfaces within chemical process systems_x000D_
_x000D_
NOTE: Studies that examine chemical reaction and transport phenomena related to electrochemical system performance, including batteries, fuel cells, flow batteries, electrochemical conversions, and related components, should be directed to the Electrochemical Systems program (CBET 7644). Studies that focus on interactions of nanomaterials and nanosystems, particularly as relevant to environmental or biological applications, may be more appropriate for the Nanoscale Interactions program (CBET 1179). Studies of how interfacial dynamics affect transport or bulk properties of multiphase systems may be more appropriate for the Particulate and Multiphase Processes program (CBET 1415). Please consult with program directors prior to submission if you have questions about programmatic fit.
_x000D_
Innovative proposals outside of these specific interest areas may be considered. The Principal Investigator is encouraged contact the Program Director prior to submission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_x000D_
COMPLIANCE: Proposals which are not compliant with theProposal   Award Policies   Procedures Guide (PAPPG)will be returned without review</t>
  </si>
  <si>
    <t>Biophotonics</t>
  </si>
  <si>
    <t>TheBiophotonicsprogram is part of the Engineering Biology and Health cluster, which also includes: 1) theBiosensingprogram; 2) theCellular and Biochemical Engineeringprogram; 3) theDisability and Rehabilitation Engineeringprogram; and 4) theEngineering of Biomedical Systemsprogram.
_x000D_
The goal of theBiophotonicsprogram is to explore the research frontiers in photonics principles, engineering and technology that are relevant for critical problems in fields of medicine, biology and biotechnology. Fundamental engineering research and innovation in photonics is required to lay the foundations for new technologies beyond those that are mature and ready for application in medical diagnostics and therapies. Advances are needed in nanophotonics, optogenetics, contrast and targeting agents, ultra-thin probes, wide field imaging, and rapid biomarker screening. Low cost and minimally invasive medical diagnostics and therapies are key motivating application goals.
_x000D_
Research topics in this program include:
_x000D_
_x000D_
Imaging in the second near infrared window:Research that advances medical applications of biophotonics in the second near-infrared window (NIR-II: 1,000-1,700 nm) in which biological tissues are transparent up to several centimeters in depth, making this spectral window ideal for deep tissue imaging._x000D_
Macromolecule markers: Innovative methods for labeling of macromolecules. Novel compositions of matter. Methods of fabrication of multicolor probes that could be used for marking and detection of specific pathological cells.Pushing the envelope of optical sensing to the limits of detection, resolution, and identification._x000D_
Low coherence sensing at the nanoscale: Low coherence enhanced backscattering (LEBS). N-dimensional elastic light scattering.Angle-resolved low coherence interferometry for early cancer detection (dysplasia)._x000D_
Neurophotonics:Studies of photon activation of neurons at the interface of nanomaterials attached to cells. Development and application of biocompatible photonic tools such as parallel interfaces and interconnects for communicating and control of neural networks._x000D_
Microphotonics and nanophotonics:Development and application of novel nanoparticle fluorescent quantum-dots. Sensitive, multiplexed, high-throughput characterization of macromolecular properties of cells.Nanomaterials and nanodevices for biomedicine._x000D_
Optogenetics: Novel research in employing light-activated channels and enzymes for manipulation of neural activity with temporal precision. Utilizing nanophotonics, nanofibers, and genetic techniques for mapping and studying in real-time physiological processes in organs such as the brain and heart._x000D_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t>
  </si>
  <si>
    <t>Environmental Sustainability</t>
  </si>
  <si>
    <t>TheEnvironmental Sustainability program is part of theEnvironmental Engineering and Sustainabilitycluster together with 1) theEnvironmental Engineeringprogram and 2) theNanoscale Interactionsprogram.
_x000D_
The goal of theEnvironmental Sustainabilityprogram is to promote sustainable engineered systems that support human well-being and that are also compatible with sustaining natural (environmental) systems. These systems provide ecological services vital for human survival. Research efforts supported by the program typically consider long time horizons and may incorporate contributions from the social sciences and ethics. The program supports engineering research that seeks to balance society's need to provide ecological protection and maintain stable economic conditions.
_x000D_
There are five principal general research areas that are supported.
_x000D_
_x000D_
Circular Bioeconomy Engineering:This area includes research that enables sustainable societal use of food, energy, water, nitrogen, phosphorus, and materials, with the reduction and eventual elimination of fossil fuel combustion that lacks carbon capture. The program encourages research that helps build the raw material basis for the functioning of society principally on biomass, drawing heavily on sustainable agriculture and forestry. Additionally, material flows must reduce or preferably eliminate waste, with an emphasis on closed-loop or   processing._x000D_
Industrial ecology:Topics of interest include advancements in modeling such as life cycle assessment, materials flow analysis, net energy analysis, input/output economic models, and novel metrics for measuring sustainable systems. Innovations in industrial ecology are encouraged._x000D_
Green engineering:Research is encouraged to advance the sustainability of manufacturing processes, green buildings, and infrastructure. Many programs in the Engineering Directorate support research in environmentally benign manufacturing or chemical processes. The Environmental Sustainability program supports research that would affect more than one chemical or manufacturing process or that takes a systems or holistic approach to green engineering for infrastructure or green buildings. Improvements in distribution and collection systems that will advance smart growth strategies and ameliorate effects of growth are research areas that are supported by Environmental Sustainability. Innovations in management of storm water, recycling and reuse of drinking water, and other green engineering techniques to support sustainability may also be fruitful areas for research._x000D_
Ecological engineering:Proposals should focus on the engineering aspects of restoring ecological function to natural systems. Engineering research in the enhancement of natural capital to foster sustainable development is encouraged._x000D_
Earth systems engineering:Earth systems engineering considers aspects of large-scale engineering research that involve mitigation of greenhouse gas emissions, adaptation to climate change, and other global concerns._x000D_
_x000D_
All proposed research should be driven by engineering principles, and be presented explicitly in an environmental sustainability context. Proposals should include involvement in engineering research of at least one graduate student, as well as undergraduates. Incorporation of aspects of social, behavioral, and economic sciences is welcomed.
_x000D_
NOTE: Water treatment, air pollution (both outdoor and indoor), soil remediation, and solid waste treatment proposals are to besubmitted to theEnvironmental Engineeringprogram (CBET 1440).
_x000D_
Innovative proposals outside the scope of the four core areas mentioned above may be considered. However, prior to submission, it is recommended that the Principal Investigator contact the program director to avoid the possibility of the proposal being returned without review. For proposals that call for research to be done on regions that are outside of the United States, an explanation must be presented of the potential benefit of the research for the United States.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E:Types of Proposals.
_x000D_
Compliance: Proposals that are not compliant with theProposal   Award Policies   Procedures Guide (PAPPG)will be returned without review.</t>
  </si>
  <si>
    <t>Electrochemical Systems</t>
  </si>
  <si>
    <t>TheElectrochemical Systemsprogram is part of the Chemical Process Systems cluster, which also includes: 1) theCatalysisprogram; 2) theInterfacial Engineeringprogram; and 3) theProcess Systems, Reaction Engineering, and Molecular Thermodynamicsprogram.
_x000D_
The goal of theElectrochemical Systemsprogram is to support fundamental engineering science research that will enable innovative processes involving electrochemistry or photochemistry for the sustainable production of electricity, fuels, chemicals, and other specialty and commodity products. Processes utilizing electrochemistry or photochemistry for sustainable energy and chemical production must be scalable, environmentally benign, reduce greenhouse gas production, and utilize renewable resources. Research projects that stress fundamental understanding of phenomena that directly impact key barriers to improved system or component-level performance (for example, energy efficiency, product yield, process intensification) are encouraged. Processes for energy storage should address fundamental research barriers for renewable electricity storage applications, for transport propulsion, or for other applications that could have impact towards climate change mitigation. For projects concerning energy storage materials, proposals should involve testable hypotheses that involve device or component performance characteristics that are tied to fundamental understanding of transport, kinetics, or thermodynamics. Advanced chemistries beyond lithium-ion are encouraged. Proposed research on processes utilizing electrochemistry or photochemistry should be inspired by the need for economic and impactful conversion processes.
_x000D_
All proposal project descriptions should address how the proposed work, if successful, will improve process realization and economic feasibility and compare the proposed work against current state of the art. Highly integrated multidisciplinary projects are encouraged. When appropriate, collaborations with industrial technologists are encouraged through GOALI proposals. Collaborative projects with an integrated experimental and theoretical approach are also encouraged.
_x000D_
Topics of interest include electrochemical energy storage and electrochemical production/conversion systems. Radically new battery systems can move the U.S. more rapidly toward a more sustainable transportation future and to greater renewable electricity production penetration. High-energy density and high-power density batteries suitable for transportation and renewable energy storage applications are of primary interest. Advanced systems involving metal anodes, solid-state electrolytes, nonaqueous systemsbeyond lithium, aqueous systems beyond lithium,and multivalent chemistries are encouraged. Research activities focused on commercially available systems such as lead-acid and nickel-metal hydride batteries or lithium-ion batteries for medical or consumer electronics applications will not be considered by this program. Novel electrochemical and photochemical systems and processes for the production of chemicals and high-value products are encouraged. Emphasis is placed on those systems that improve process intensification and process modularization with accompanying benefits in energy efficiency and environmental footprint.
_x000D_
Additional fundamental science topics of interest to this program include the study of:
_x000D_
_x000D_
advanced fuel cell systems or fuel cell components for transportation propulsion or grid energy storage applications;_x000D_
flow batteries for stationary energy storage applications including alternative redox chemistries (e.g., organic, inorganic, organometallic, macromolecular) and operating strategies (e.g., redox-mediation, suspensions); and_x000D_
photocatalytic or photoelectrochemical processes and devices for the splitting of water into hydrogen gas or for the reduction of carbon dioxide to liquid or gaseous fuels. Projects that largely focus on developing fundamental understanding of the catalytic reaction mechanisms and structure-function relationships may be more appropriate as submissions to the CBET Catalysis program (CBET 1401)._x000D_
_x000D_
Projects submitted to the Electrochemical Systems program are expected to develop fundamental, molecular-level understanding of the key chemical reaction and transport phenomena barriers to improved system-level performance. Innovative proposals outside of these specific interest areas may be considered. However, prior to submission, it is recommended that the Principal Investigator contact the program director to avoid the possibility of the proposal being returned without review.
_x000D_
Referrals to other programs within NSF:
_x000D_
_x000D_
Proposals that focus on electric-field driven separations such as dielectrophoresis should be directed to theInterfacial Engineeringprogram (CBET 1417)._x000D_
Proposals that focus on thermal management of energy storage devices and systems should be submitted to theThermal Transport Processesprogram (CBET 1406)._x000D_
Proposals that focus on improving device and system performance of primarily organic, inorganic, and hybrid photovoltaic (PV) technologies, including perovskites, may be more appropriate as submissions to the Electronics, Photonics, and Magnetic Devices program in Engineering's Division of Electrical, Communications, and Cyber Systems (ECCS 1517). PV materials proposals that focus on the material science may be considered in the Division of Materials Research of the Directorate for Mathematical and Physical Sciences._x000D_
Proposals that focus on the generation of thermal energy by solar radiation should be directed to theThermal Transport Processesprogram (CBET 1406)._x000D_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Types of Proposals.
_x000D_
COMPLIANCE: Proposals which are not compliant with theProposal   Award Policies   Procedures Guide (PAPPG)will be returned without review.</t>
  </si>
  <si>
    <t>Fluid Dynamics</t>
  </si>
  <si>
    <t>TheFluid Dynamicsprogram is part of the Transport Phenomena cluster, which also includes 1) theCombustion and Fire Systemsprogram; 2) theParticulate and Multiphase Processesprogram; and 3) theThermal Transport Processesprogram.
_x000D_
TheFluid Dynamicsprogram supports fundamental research toward gaining an understanding of the physics of various fluid dynamics phenomena. Proposed research should contribute to basic scientific understanding via experiments, theoretical developments, and computational discovery.
_x000D_
Major areas of interest and activity in the program include:
_x000D_
_x000D_
Turbulence and transition: High Reynolds number experiments; large eddy simulation; direct numerical simulation; transition to turbulence; 3-D boundary layers; separated flows; multi-phase turbulent flows; flow control and drag reduction. High-speed boundary layer transition and turbulence at Mach numbers greater than 5 to understand modal and/or non-modal interactions leading to boundary layer transition and the ensuing developing and fully developed turbulent boundary layer flows.Combined experiments and simulations are encouraged._x000D_
Bio-fluid physics:Bio-inspired flows; biological flows with emphasis on flow physics._x000D_
Non-Newtonian fluid mechanics:Single-phase viscoelastic flows; solutions of macro-molecules._x000D_
Bubble dynamics: Bubbles related to cavitation and/or drag reduction or impacting the fluid viscosity (locally) or manipulation of bubbles with external excitation (acoustofluidics)._x000D_
Microfluidics and nanofluidics: Micro-and nano-scale flow physics._x000D_
Wind and ocean energy harvesting: Focused on fundamental fluid dynamics associated with renewable energy. The NSF-DOE (Department of Energy) joint funding area is focused on high Reynolds number aerodynamics of thick airfoils (  21% thickness/chord) operating in complex (3D) steady, unsteady, and separated flows. Impacts of blade surface quality/roughness rotor performance on the aerodynamic/aeroelastic performance of novel rotor geometries and supporting structures are also of interest. Air/sea interactions, including waves/currents, on the hydrodynamic loading for offshore wind turbines. Improved measurement techniques and sensing/control technologies required to characterize the metocean environment impact on performance. The DoE participates in this initiative throughthe Wind Energy Technologies Office (program manager Michael Derby, email: michael.derby@ee.doe.gov)._x000D_
Fluid-structure interactions:General FSI applications across the low- to high-Reynolds number range are of interest to NSF. In addition, NSF-AFOSR (Air Force Office of Scientific Research) joint funding area is focused on theory, modeling and/or experiments for hypersonic applications. AFOSR participates in this initiative through the Aerothermodynamics program._x000D_
Canonicalconfigurations:Experimental research is encouraged to develop spatiotemporally resolveddatabases for canonical configurations to either confirm historicalresults or to provide data in an unexplored parameter region. Fidelity and completeness for theoretical/computational validation is a key attribute of theproposed experimental data._x000D_
Artificial intelligence (AI)/machine learning:Innovative AI ideas related to the use of machine learning and other AI approaches in fluid dynamics research to model and control the flows are encouraged.Verifying new models with canonicalconfigurations, when appropriate, is encouraged for theComputational andData-Enabled Science   Engineering(CDS E) program._x000D_
Instrumentation and Flow Diagnostics: Instrument development for time-space resolvedmeasurements; shear stress sensors; novel flow imaging; and velocimetry._x000D_
_x000D_
NOTE:Proposals that use fluid flows as a boundary input condition or a driving force in a problem do not fit within the scope of this program. Proposals focused on particulates (including droplets) two-way coupled with fluids, colloids, and multiphase rheology and processes should be directed to the Particulate andMultiphase Processesprogram. Proposals dealing mainly with materials synthesis, processing and characterization may be more suitable for theAdvanced Manufacturingprogramin the Division of Civil, Mechanical, and Manufacturing Innovation orprograms in theDivision of Materials Research. Proposals dealing primarily with sensors and controls may be more suitable for the Dynamics, Controls,   Cognition program in the Division of Civil, Mechanical, and Manufacturing Innovation. Proposals focused on biological systems may be more suitable forPhysiological and Structural Systemsin the Division of Integrative Organismal Systems.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Proposalsthat are not compliant with theProposal   Award Policies   Procedures Guide (PAPPG)will be returned without review.</t>
  </si>
  <si>
    <t>FY 2023 EDA Public Works and Economic Adjustment Assistance Programs</t>
  </si>
  <si>
    <t>Nonprofits that do not have a 501(c)(3) status with the IRS, other than institutions of higher education Pursuant to Section 3(4) of PWEDA (42 U.S.C.   3122(4)(a)) and 13 C.F.R.   300.3 (Eligible Recipient), eligible applicants for EDA financial assistance under the Public Works and EAA programs include a(n): (i) District Organization of an EDA-designated Economic Development District; (ii) Indian Tribe or a consortium of Indian Tribes; (iii) State, county, city, or other political subdivision of a State, including a special purpose unit of a State or local government engaged in economic or infrastructure development activities, or a consortium of political subdivisions; (iv) institution of higher education or a consortium of institutions of higher education; or (v) public or private non-profit organization or association acting in cooperation with officials of a political subdivision of a State. Individuals and for-profit entities are not eligible for funding under this NOFO.</t>
  </si>
  <si>
    <t>PLEASE FIND THE NOFO UNDER THE RELATED DOCUMENTS TAB
Program Overview:
EDA has authority to provide grants to meet the full range of communitiesâ€™ and regionsâ€™ economic development needs from planning and technical assistance to construction of infrastructure. These grants are made through a series of Notices of Funding Opportunity (NOFOs) that can be found on EDAâ€™s website at https://www.eda.gov/funding/funding-opportunities and are designed to support the economic development activities most useful to a community based on its needs and circumstances. EDA funds community or regionally generated ideas and assists communities to advance to the next level of economic development.
This NOFO, which supersedes the FY20 PWEAA NOFO, sets out EDAâ€™s application submission and review procedures for two of EDAâ€™s core economic development programs authorized under the Public Works and Economic Development Act of 1965, as amended (42 U.S.C. Â§ 3121 et seq.) (PWEDA): (1) Public Works and Economic Development Facilities (Public Works) and (2) Economic Adjustment Assistance (EAA).
EDA supports bottom-up strategies that build on regional assets to spur economic growth and resiliency. EDA encourages its grantees throughout the country to develop initiatives that present new ideas and creative approaches to advance economic prosperity in distressed communities.
Through this NOFO EDA intends to advance general economic development in accordance with EDAâ€™s investment priorities, but also to pursue projects that, where practicable, incorporate specific priorities related to equity, workforce development, and climate change resiliency so that investments can benefit everyone for decades to come.</t>
  </si>
  <si>
    <t>U.S. Embassy Libreville PDS Annual Program Statement</t>
  </si>
  <si>
    <t>DOS-GAB</t>
  </si>
  <si>
    <t>U.S. Mission to Gabon</t>
  </si>
  <si>
    <t>Others (see text field entitled "Additional Information on Eligibility" for clarification) Civil Society organizations_x000D_
Educational associations</t>
  </si>
  <si>
    <t xml:space="preserve">A. PROGRAM DESCRIPTION 
The U.S. Embassy Libreville Public Diplomacy Section (PDS) of the U.S. Department of State is pleased to announce that funding is available through its Public Diplomacy Small Grants Program. This is an Annual Program Statement, outlining our funding priorities, the strategic themes we focus on, and the procedures for submitting requests for funding. Please carefully follow all instructions below. 
Purpose of Small Grants: PDS invites proposals for programs that strengthen cultural ties between the U.S. and Gabon through cultural and exchange programming that highlights shared values and promotes bilateral cooperation. All programs must include an American cultural element, or connection with American expert/s, organization/s, or institution/s in a specific field that will promote increased understanding of U.S. policy and perspectives. 
Examples of PDS Small Grants Program programs include, but are not limited to: 
Â· Academic and professional lectures, seminars and speaker programs; 
Â· Artistic and cultural workshops, joint performances and exhibitions; 
Â· Cultural heritage conservation and preservation programs; 
Â· Professional and academic exchanges and programs; 
Priority Program Areas: 
Â· Enhance Capacity to Preserve the Environment and Biodiversity to Counter the Effects of Climate Change 
Â· Deepen U.S. â€“ Gabon People-to-People Ties 
o Programs that seek to explain U.S. policies, culture, and values to Gabonese audiences 
Â· Increase Civic Engagement in Gabonese Society 
The following types of programs are not eligible for funding:  
Â· Programs relating to partisan political activity; 
Â· Charitable or development activities; 
Â· Construction programs; 
Â· Programs that support specific religious activities; 
Â· Fund-raising campaigns; 
Â· Lobbying for specific legislation or programs 
Â· Scientific research; 
Â· Programs intended primarily for the growth or institutional development of the organization; or 
Â· Programs that duplicate existing programs. 
Authorizing legislation, type and year of funding: 
Funding authority rests in the Smith-Mundt. The source of funding is FY2023 Public Diplomacy Funding.  
B. FEDERAL AWARD INFORMATION 
Length of performance period: Up to 12 months  
Number of awards anticipated: 2 or 3 awards (dependent on amounts) 
Award amounts: awards may range from a minimum of $5,000 to a maximum of $12,500 
Total available funding: $25,000 
Type of Funding: Fiscal Year 2023 Public Diplomacy Funding 
Anticipated program start date: From July/August 2023 
This notice is subject to availability of funding. 
Funding Instrument Type: Grant, Fixed Amount Award, or Cooperative agreement. Cooperative agreements are different from grants in that PDS staff are more actively involved in the grant implementation. 
Program Performance Period: Proposed programs should be completed in two years or less.  
PDS will entertain applications for continuation grants funded under these awards beyond the initial budget period on a non-competitive basis subject to availability of funds, satisfactory progress of the program, and a determination that continued funding would be in the best interest of the U.S. Department of State. 
C. ELIGILIBITY INFORMATION 
1. Eligible Applicants 
The Public Diplomacy Section encourages applications from U.S. and Gabon: 
Â· Registered not-for-profit organizations, including think tanks and civil society/non-governmental organizations with programming experience. 
Â· Individuals  
 Non-profit or governmental educational institutions 
 Governmental institutions 
For-profit or commercial entities are not eligible to apply.  
2. Cost Sharing or Matching 
Cost sharing is not required. 
3. Other Eligibility Requirements 
Applicants are only allowed to submit one proposal per organization. If more than one proposal is submitted from an organization, all proposals from that institution will be considered ineligible for funding. 
In order to be eligible to receive an award, all organizations must have a Unique Entity Identifier (UEI) number issued via www.SAM.gov as well as a valid registration on www.SAM.gov. Please see Section D.3 for more information. Individuals are not required to have a UEI or be registered in SAM.gov. 
Please see link below for additional information. 
 </t>
  </si>
  <si>
    <t>U.S. Ambassadors Fund for Cultural Preservation - Ukraine Response</t>
  </si>
  <si>
    <t>Others (see text field entitled "Additional Information on Eligibility" for clarification) Foreign Institution of Higher Education; Foreign-based non-profit organizations/nongovernment organizations (NGO); Foreign Public Entity; U.S. Non-Profit Organization (IRC section 501(c)(3)); U.S. Institution of Higher Education</t>
  </si>
  <si>
    <t>Refer to the Application Instructions (PDF) under Related Documents for additional information on eligible activities and application submission details. For proposals to receive consideration, applicants must submit all materials to AFCP@state.gov.
The Bureau of Educational and Cultural Affairs of the U.S. Department of State (the Bureau) and the U.S. Embassy to Ukraine announce an open competition for organizations to submit proposals for funding through the Bureauâ€™s U.S. Ambassadors Fund for Cultural Preservation â€“ Ukraine Response (AFCP-UR) to carry out urgent projects to preserve and protect cultural heritage in Ukraine impacted by Russiaâ€™s unjust and unprovoked war of aggression.
The overall intent of this program is to safeguard prominent examples of Ukraineâ€™s cultural heritage. It will support the following activities:
 Assessment and documentation of risk and damage to cultural heritage sites, objects, and collections.
 Protection of cultural heritage sites, objects, and collections from theft, damage, or further damage.
 Stabilization or temporary repair of damaged cultural heritage sites, objects, and collections.
 Recovery or conservation of cultural heritage objects and collections as conditions allow.
 Recovery, restoration, or reconstruction of damaged cultural heritage sites as conditions allow.
AFCP-UR will support projects in the following two categories: 1) Site-Specific Projects, and 2) Regional Assessment and Rapid Response Projects. Eligible applicants may submit multiple applications and may apply to one or both project categories.
 Site-Specific Projects: For these projects, an applicant shall carry out protection and stabilization activities at a specific site or for a specific collection. It is expected that an initial damage assessment has already been conducted and can form the basis of a project proposal.
 Regional Assessment and Rapid Repair Projects: For these projects, an applicant shall identify a geographic area in Ukraine, conduct risk and damage assessments in that area, and prioritize and implement response and recovery activities.
Refer to the Application Instructions (PDF) under Related Documents for additional information on eligible activities, and application submission details. For proposals to receive consideration, applicants must submit all materials to AFCP@state.gov.</t>
  </si>
  <si>
    <t>Communications, Circuits, and Sensing-Systems</t>
  </si>
  <si>
    <t xml:space="preserve">The Communications, Circuits, and Sensing-Systems (CCSS) Program supports innovative research in circuit and system hardware and signal processing techniques. CCSS also supports system and network architectures for communications and sensing to enable the next-generation cyber-physical systems (CPS) that leverage computation, communication, and sensing integrated with physical domains. CCSS invests in micro- and nano-electromechanical systems (MEMS/NEMS), physical, chemical, and biological sensing systems, neurotechnologies, and communication   sensing circuits and systems. The goal is to create new complex and hybrid systems ranging from nano- to macro-scale with innovative engineering principles and solutions for a variety of applications including but not limited to healthcare, medicine, environmental and biological monitoring, communications, disaster mitigation, homeland security, intelligent transportation, manufacturing, energy, and smart buildings. CCSS encourages research proposals based on emerging technologies and applications for communications and sensing such as high-speed communications of terabits per second and beyond, sensing and imaging covering microwave to terahertz frequencies, personalized health monitoring and assistance, secured wireless connectivity and sensing for the Internet of Things, and dynamic-data-enabled autonomous systems through real-time sensing and learning.
_x000D_
Areas managed by CCSS Program Directors (please contact Program Directors listed in the CCSS staff directory for areas of interest):
_x000D_
RF Circuits and Antennas for Communications and Sensing
_x000D_
_x000D_
RF Communications and Sensing Technologies from kHz to THz_x000D_
Antennas and Wave Propagation for Communications and Sensing_x000D_
Circuits and Systems for Secured Communications and Sensing_x000D_
Trusted Microelectronic Circuits_x000D_
RF Biomedical Applications and Remote Sensing_x000D_
Bio-mimetic Circuits and Systems_x000D_
Dynamic-data-enabled Reconfigurable RF Subsystems through Sensing and Machine Learning_x000D_
Wireless Energy Transfer and RF Energy Harvesting_x000D_
_x000D_
Communication Systems and Signal Processing
_x000D_
_x000D_
Wireless, Optical, and Hybrid Communications and Networking_x000D_
Full-duplex, massive MIMO, mm-Wave, and THz communications_x000D_
Spectrum Access and Sharing_x000D_
Integrated Sensing, Communication, and Computational Systems_x000D_
Signal Processing, image processing, and Compressive Sampling_x000D_
Cyber Physical Systems and Hardware-controlled Secured Communications_x000D_
Dynamic-data-enabled Communication Systems through Sensing and Machine Learning_x000D_
Quantum Communication Systems_x000D_
_x000D_
Dynamic Bio-Sensing Systems
_x000D_
_x000D_
Micro, Nano, and Bio Systems (MEMS/NEMS)_x000D_
Chemical, Biological, and Physical Diagnostics_x000D_
Sensors, Actuators, and Electronic Interfaces_x000D_
Ultra-Low Power Wearable and Implantable Sensing Systems_x000D_
Dynamic-data-enabled Reconfigurable Sensing Systems_x000D_
Personalized Health Monitoring Systems through Sensing and Machine Learning_x000D_
Neuroengineering and Brain-Inspired Concepts and Designs_x000D_
</t>
  </si>
  <si>
    <t>Growing Research Access for Nationally Transformative Economic Development</t>
  </si>
  <si>
    <t>GRANTED supports ambitious ideas and innovative strategies to address challenges and inequalities within the research enterprise. The research enterprise is broadly defined and includes administrative support and service infrastructure such as, but not limited to, human capital, research development and administration, research analytics, technology transfer and commercialization, corporate relations/public-private partnerships, research integrity, compliance and security, research policy, administration of student research training, and research leadership. Strengthening this administrative infrastructure supporting research and STEM training is necessary to fully utilize the Nation's talent and capabilities and empower America's organizations that engage in or support research, to participate in a diverse, equitable, and internationally competitive research enterprise.
Program Description
A strong national research enterprise relies on more than funding for the research itself. It also requires robust administrative support and service infrastructure, which is often unseen, yet includes critical components of the research enterprise. This infrastructure enables the development of proposals and management of awards. It supports broader impacts activities through technology transfer, public-private partnerships and community engaged research. Policy and process guides research compliance and enables the security and integrity of the work. Research analytics and communication, managing the training of our scientific workforce, and harnessing the creativity and drive of research leadership, and more, are fundamental components of the infrastructure. Access to, and provisioning of, administrative infrastructure varies significantly among organizations in research, resulting in structural barriers that impede broad participation in the Nation's research and discovery opportunities. Securing global leadership demands we act together to transform the research enterprise to be more resilient, sustainable, equitable, and diverse.
The GRANTED initiative provides unique opportunities to realize this vision for research enterprise infrastructure. Proposals in response to this GRANTED program description should be broadly inclusive and engage the professional, administrative research support and service workforce in project leadership roles described within proposals.Proposed projects should look beyond individual and discipline-specific research needs and focus on activities that create institution/organization-wide impact. Projects that identify nationally scalable models to build and sustain research enterprise infrastructure are strongly encouraged. Competitive proposals will recognize structural challenges and include goals to implement interventions, solutions, and/or strategies that will mitigate the challenges and broaden participation. Proposals must be centered around one or more of the three main themes of GRANTED:
Enhancing practices and processes within the research enterprise;
Developing and strengthening human capital within the research enterprise;
Translating effective practices related to the research enterprise into diverseinstitutional and organizational contexts through partnerships with professional societies and organizations.
All types of institutions and organizations engaged, or aspiring to be engaged, in the research enterprise are invited to participate, as described in the current NSF Proposal and Award Policies and Procedures Guide (PAPPG) Part 1/Chapter 1, Section E. Prospective PIs are strongly encouraged to contact GRANTED initiative personnel (GRANTED@nsf.gov) with inquiries prior to developing and submitting a proposal to this program description. The project budget and duration should be determined by the scope of the proposed activities and presented in accordance with the PAPPG.GRANTED is not intended to fund discipline-specific STEM research and training projects.
Collectively, proposals funded through this Program Description will: 1) advance transformation of the national research enterprise, 2) generate scalable models that mitigate structural barriers and expand research capacity and competitiveness, 3) create new and authentic collaborations, partnerships, and communities centered around strengthening the Nation's research enterprise, 4) diversify the project leadership, institutions, ideas, and approaches that NSF funds, and 5) broaden participation in the Nation's research enterprise.</t>
  </si>
  <si>
    <t>Accelerating Elimination of Tuberculosis (TB) in Indonesia</t>
  </si>
  <si>
    <t>USAID-IND</t>
  </si>
  <si>
    <t>Indonesia USAID-Jakarta</t>
  </si>
  <si>
    <t>Others (see text field entitled "Additional Information on Eligibility" for clarification) Eligibility will be further described in each APS Addendum(s).</t>
  </si>
  <si>
    <t>Dear Interested Applicants:This Annual Program Statement (APS) publicizes in accordance with ADS 303.3.5.2(b) as the intention of the United States Government (USG), as represented by the United States Agency for International Development (USAID), Indonesia Mission, to fund one or multiple awards to improve the capacity of the National Tuberculosis Program, local partners, and communities to effectively detect, diagnose, and treat people affected by tuberculosis and provide preventive services to all people in need, while building a sustainable and resilient health system in Indonesia.This document is an â€œumbrellaâ€ APS that is not calling for any submission and will not solicit any concept papers nor applications. Prospective applicants will be provided a fair opportunity to develop and submit competitive applications to USAID for potential funding via APS Addendums under this APS. USAID Indonesia intends to make several assistance awards with US and local NGOs to assist the Government of Indonesia (GOI) in accelerating achievement toward its 2030 TB elimination.Following this APS, USAID will issue APS Addendum(s) with more detailed information for applicants to submit their applications. USAID Indonesia may utilize co-creation with prospective applicants during various stages of APS Addendum procurements and applicants may be invited to participate in virtual or in-person events. If/when there is any change related to this APS, the mission will amend this APS accordingly.Issuance of this APS does not commit USAID to make any awards nor to pay for the costs incurred in the preparation and submission of an application. USAID also reserves the right to reject any application received in response to the APS Addendum(s). USAID reserves the right not to conduct a co-creation and request Full Applications from successful applicants at the concept paper stage, or to conduct co-creation at a later stage of the process. The actual number of awards under this APS is subject to the availability of funds and the viability of applications received. USAID also reserves the right to award multiple awards or no awards at all through this APS.This APS and the APS Addendum will be posted on www.sam.gov and www.grants.gov. It is the responsibility of the Applicant to regularly check both websites to ensure they have the latest information pertaining to this APS and to ensure that the APS has been received from the internet in its entirety. USAID bears no responsibility for any data errors resulting from transmission or conversion process. If you have difficulty registering on www.grants.gov or accessing the APS document, please contact the Grants.gov Helpdesk at 1-800-518-4726 or via email at support@grants.gov for technical assistance.Thank you for your interest in USAID programs.</t>
  </si>
  <si>
    <t>Electronics, Photonics and Magnetic Devices</t>
  </si>
  <si>
    <t xml:space="preserve">TheElectronics, Photonics and Magnetic Devices (EPMD) Programsupports innovative research on novel devices based on the principles of electronics, optics and photonics, optoelectronics, magnetics, opto- and electromechanics, electromagnetics, and related physical phenomena. EPMD s goal is to advance the frontiers of micro-, nano- and quantum-based devices operating within the electromagnetic spectrum and contributing to a broad range of application domains including information and communications, imaging and sensing, healthcare, Internet of Things, energy, infrastructure, and manufacturing. The program encourages research based on emerging technologies for miniaturization, integration, and energy efficiency as well as novel material-based devices with new functionalities, improved efficiency, flexibility, tunability, wearability, and enhanced reliability.
_x000D_
Areas managed by Program Directors (please contact Program Directors listed in the EPMD staff directory for areas of interest):
_x000D_
Electronic Devices
_x000D_
_x000D_
Nanoelectronics_x000D_
Wide/Extreme- and Narrow-Bandgap, Semiconductor Devices_x000D_
Devices with New Functionalities based on Material-Device Interactions and Reliability_x000D_
Device-Related Electromagnetic Effects, Propagationand Scattering_x000D_
Microwave/mm-Wave/THz Devices_x000D_
Flexible, Printed Electronics_x000D_
Carbon-based Electronics_x000D_
Thermoelectric and Ferroelectric Devices_x000D_
_x000D_
Photonic Devices
_x000D_
_x000D_
Advanced Optical Emitters and Photodetectors, from Extreme UV to THz_x000D_
Single-Photon Quantum Devices_x000D_
Nonlinear and Ultrafast Photonics_x000D_
Nanophotonics and Photonic Integration_x000D_
Optical Imaging and Sensing Techniques_x000D_
Opto-Mechanical Nanodevices_x000D_
Optical Communication Components_x000D_
_x000D_
Magnetic Devices
_x000D_
_x000D_
Biomagnetic Devices_x000D_
Nanomagnetic and Quantum Devices_x000D_
Spin Electronics for Next Generation of Logic and Memories_x000D_
_x000D_
Cross-Cutting
_x000D_
_x000D_
2D Material Devices and Circuits_x000D_
Devices based on Paper Electronics_x000D_
Bioelectronic Devices_x000D_
Photovoltaic and Energy Harvesting Devices_x000D_
Metamaterial and Plasmonic-Based Devices_x000D_
Sensor Device Technologies_x000D_
</t>
  </si>
  <si>
    <t>Research Interests of the Air Force Office of Scientific Research</t>
  </si>
  <si>
    <t>Public and State controlled institutions of higher education See Announcement</t>
  </si>
  <si>
    <t>AFOSR plans, coordinates, and executes the Air Force Research Laboratoryâ€™s (AFRL) basic research program in response to technical guidance from AFRL and requirements of the Air Force. Additionally, the office fosters, supports, and conducts research within Air Force, university, and industry laboratories; and ensures transition of research results to support U.S. Air Force needs. The focus of AFOSR is on research areas that offer significant and comprehensive benefits to our national war fighting and peacekeeping capabilities. These areas are organized and managed in two scientific Departments: Engineering and Information Science (RTA), Physical and Biological Sciences (RTB), and our international offices (EAORD, SOARD, and AOARD). The research activities managed within each Department are summarized in this section.</t>
  </si>
  <si>
    <t>Centers of Research Excellence in Science and Technology Postdoctoral Research Program</t>
  </si>
  <si>
    <t>Others (see text field entitled "Additional Information on Eligibility" for clarification) *Who May Submit Proposals: Proposals may only be submitted by the following:
  - p class= CREST Postdoctoral Research Program proposals are submitted directly by the fellowship candidate to NSF. Each fellowship candidate must identify in the proposal one or more scientific mentor(s) and must affiliate with a primary host institution that houses a CREST Center with whom the scientific mentor(s) is affiliated. See the  a href= CREST program website  for a list of active centers.
*Who May Serve as PI:
To be eligible to submit a proposal to the CREST-PRP, an individual must, as of the full proposal deadline date:
 Be a U.S. citizen, national, or permanent resident; 
 Have earned the doctoral degree, or expect to have earned the doctoral degree, from an MSI (based on the most recent IPEDS data) prior to the required start date of the award; 
 Submit a project plan that falls within the purview of the NSF CREST Center host institution's research priorities; 
 Not have worked for more than a total of 24 full-time-equivalent months in positions that require the doctoral degree; and 
 Not have previously been a principal investigator or co-principal investigator of an NSF award (other than an NSF Graduate Research Fellowship) 
For the CREST-PRP,eligible institutionsare MSIs that have undergraduate enrollments of 50% or more students (based on total student enrollment) who are members of minority groups underrepresented among those holding advanced degrees in science and engineering fields.
Eligibility may be determined by reference to the Integrated Postsecondary Education Data System (IPEDS) of the US Department of Education National Center for Education Statistics ( a title=  href= ).
Proposals that fail to meet eligibility requirements will be returned without review.
By signing and submitting the proposal, the proposer is certifying that they meet the eligibility criteria specified in this program solicitation. Willful provision of false information in this request and its supporting documents or in reports required under an ensuing award is a criminal offense (U.S. Code, Title 18, Section 1001).</t>
  </si>
  <si>
    <t>The Centers of Research Excellence in Science and Technology (CREST) program provides support to enhance the research capabilities of minority-serving institutions (MSIs) through the establishment of centers that effectively integrate education and research. CREST promotes the development of new knowledge, enhancements of the research productivity of individual faculty, and an expanded presence of students who are members of groups underrepresented in science, technology, engineering, and mathematics (STEM) disciplines.
The CREST Postdoctoral Research Program (CREST-PRP) awards are part of the overarching CREST program and provide two years of support for research experience and training for early career scientists at active CREST Centers. The goal of the CREST-PRP awards isto increase the workforce presence of individuals from groups underrepresented in STEM fields. CREST-PRP awards recognize investigators with significant potential and provide them with research experiences that broaden perspectives, facilitate interdisciplinary interactions, and prepare CREST-PRP scholars for positions of leadership within the scientific community. Postdoctoral scholars conduct research on topics aligned with the research focus of the host CREST Center. The awards are also designed to provide active mentoring to the postdoctoral scholars by thescientific mentorwho, in turn, will benefit from the incorporation of these talented scientists into their research groups.
Proposals must be submitted by individual postdoctoral candidates. However, if an award is recommended, the award will be transferred to the host institution where the postdoctoral scholar will be named as the PI. The award will be issued to the host institution as a regular research award, and the award will be administered by the host institution.
Women, veterans, persons with disabilities, and members of groups underrepresented in STEM are especially encouraged to apply.</t>
  </si>
  <si>
    <t>Manufacturing Systems Integration</t>
  </si>
  <si>
    <t>The Manufacturing Systems Integration (MSI) Program supports fundamental research addressing the opportunities and challenges that digital technologies present for the next industrial revolution, with particular emphasis on the digital integration of design and manufacturing within the larger life cycle ecosystem. Manufacturing Systems Integration proposals should address underlying principles and advances that are generalizable for globally competitive and world leading industries. Connectivity, automation, and secure collaboration are examples of areas that are integral to digital environments capable of supporting the innovation, realization and sustainment of manufactured products and systems in the value creation process.
_x000D_
_x000D_
Fundamental generalizable research for manufacturing systems integration might include, for example:
_x000D_
_x000D_
_x000D_
Digital representation, protocols, and/or processes for integration and collaboration in manufacturing systems (machines and/or humans)_x000D_
Intelligent self-organizing production systems_x000D_
Ease of use, interoperability and seamless integration of technologies, machines, and humans_x000D_
Service-oriented architectures and systems_x000D_
Data sets that are compatible and usable across platforms_x000D_
Reliable and secure communications within and across the manufacturing value chain_x000D_
Integration of distributed manufacturing systems across time and space, including incorporating both legacy and leading-edge equipment and technologies_x000D_
Methods for assessing the impact and value of externalities throughout the life cycle within the digital environment_x000D_
_x000D_
_x000D_
_x000D_
Interdisciplinary, convergent proposals that bring diverse perspectives, populations, disciplines, and capabilities together are welcome. It is strongly encouraged and expected that investigators discuss their ideas with a MSI program director well in advance of proposal submission.</t>
  </si>
  <si>
    <t>Science, Technology, Engineering and Mathematics (STEM) Education Organizational Postdoctoral Research Fellowships</t>
  </si>
  <si>
    <t>Others (see text field entitled "Additional Information on Eligibility" for clarification) *Who May Submit Proposals: Proposals may only be submitted by the following:
  -
Proposals may only be submitted by the following:
_x000D_
 _x000D_
 Institutions of Higher Education (IHEs)Two-and four-year IHEs (including community colleges) accredited in, and having a campus located in the U.S., acting on behalf of their faculty members. _x000D_
 Non-profit, Non-Academic OrganizationsIndependent museums, observatories, research laboratories, professional societies and similar organizations located in the U.S. that are directly associated with educational or research activities. _x000D_
 _x000D_
Fellows supported through organizational awards must meet the following eligibility requirements:
_x000D_
 _x000D_
 Be a U.S. citizen, national, or permanent resident; _x000D_
 Have earned the doctoral degree, or expect to have earned the doctoral degree in a field of science, technology, engineering, or mathematics (STEM),STEM Education, Education, or a related discipline prior to the earned no more than 24 months;  _x000D_
 Must not hold a tenure-track position, _x000D_
*Who May Serve as PI:
PIs and co-PIs must hold full-time positions at the proposing organization in STEM, STEM education, Education, or a related discipline with a research emphasis in STEM education. This may include but is not limited to individuals with full-time academic or research appointments, those who hold positions at non-profit, non-academic organizations, such as museums, observatories, research laboratories, professional societies and similar organizations located in the United States.</t>
  </si>
  <si>
    <t>The Directorate for STEM Education (EDU) STEM Education Postdoctoral Research Fellowships (STEM Ed PRF) Program funds postdoctoral fellowship projects designed to enhance the research knowledge, skills, and practices of STEM Education research by recent doctoral graduates in STEM, STEM Education, Education, and related disciplines. This solicitation supports organizational postdoctoral fellowship projects; a companion solicitation (STEM Ed IPRF) supports individual postdoctoral fellowship awards. The Program is designed to broaden the pool of researchers who can advance knowledge regarding STEM learning and learning environments, broadening participation in STEM fields, and STEM workforce development. Principal Investigators who are women, veterans, persons with disabilities, and from groups underrepresented in STEM, or who have attended community colleges and minority-serving institutions (e.g. Historically Black Colleges and Universities, Tribal Colleges and Universities, Hispanic Serving Institutions, Alaska Native Serving Institutions, and Hawaiian Native and Pacific Islander Serving Institutions) are especially encouraged to apply.
_x000D_
STEM Ed OPRF awards provide support to organizations as they develop a STEM education postdoctoral research fellowship project and support a cohort of fellows. The program should enable fellows to engage in ongoing research, to develop independent research, and to implement an independent professional development plan under the guidance of a sponsoring researcher. Fellows are expected to devote themselves full time to the fellowship activities for the duration of the fellowship.</t>
  </si>
  <si>
    <t>HEAL Initiative Advanced Postdoctoral-to-Independent Career Transition Award in PAIN and SUD Research (Independent Basic Experimental Studies with Humans Required)</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</si>
  <si>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</si>
  <si>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the NIH HEAL InitiativeSM Pathway to Independence Award (K99/R00) program is to support a cohort of new and talented independent investigators conducting Pain and/or SUD research, in order to increase the independent investigator workforce in research areas supported by the NIH HEAL InitiativeSM. This program is designed to facilitate a timely transition of eligible outstanding postdoctoral researchers from their mentored, postdoctoral research positions to independent, tenure-track or equivalent faculty positions. The program will provide independent NIH research support during this transition to help awardees establish independent research programs in areas supported by the NIH HEAL InitiativeSM.</t>
  </si>
  <si>
    <t>Archaeology Program - Doctoral Dissertation Research Improvement Grants</t>
  </si>
  <si>
    <t>Others (see text field entitled "Additional Information on Eligibility" for clarification) *Who May Submit Proposals: Proposals may only be submitted by the following:
  -
Institutions of Higher Education (IHEs)   doctoral degree granting IHEs accredited in, and having a campus located in, the U.S., acting on behalf of their faculty members.
*Who May Serve as PI:
The proposal must be submitted through regular organizational channels by the dissertation advisor(s) on behalf of the graduate student. The advisor is the principal investigator (PI) and the student is the co-principal investigator (co-PI). The student must be the author of the proposal. The student must be enrolled at a U.S. institution but need not be a U.S. citizen. To be eligible to serve as the PI, the advisor must be available during the period of proposal submission and review and during the performance of the research in order to relay information and communications from NSF to the student.</t>
  </si>
  <si>
    <t>The Archaeology Program supports anthropologically relevant archaeological research. This means that the value of the proposed research can be justified within an anthropological context. The program sets no priorities by either geographic region or time period. It also has no priorities in regard to theoretical orientation or question and it is the responsibility of the investigator to explain convincingly why the focus of their research is significant and has the potential to contribute to anthropological knowledge. While the program, in order to encourage innovative research, neither limits nor defines specific categories of research, most applications either request funds for field research or the analysis of archaeological material through multiple approaches. The program also supports methodological projects which develop analytic techniques of potential archaeological value.</t>
  </si>
  <si>
    <t>HEAL Initiative Advanced Postdoctoral-to-Independent Career Transition Award in PAIN and SUD Research (K99/R00 Independent Clinical Trial Not Allowed)</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</si>
  <si>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</si>
  <si>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HEAL Initiative Advanced Postdoctoral-to-Independent Career Transition Award in PAIN and SUD Research to Promote Diversity (K99/R00 Independent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</si>
  <si>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apply.Non-domestic (non-U.S.) components of U.S. Organizations are not eligible to apply.Foreign components, as defined in the NIH Grants Policy Statement, are allowed.</t>
  </si>
  <si>
    <t>The purpose of the NIH HEAL InitiativeSM Pathway to Independence Award (K99/R00) program is to enhance workforce diversity in the research workforce and maintain a strong cohort of new and talented independent investigators conducting Pain and/or SUD research, in order to increase the pool of diverse and independent investigator workforce in research areas supported by the NIH HEAL InitiativeSM. This program is designed to facilitate a timely transition of eligible postdoctoral researchers from their mentored, postdoctoral research positions to independent, tenure-track or equivalent faculty positions. The program will provide independent NIH research support during this transition to help awardees establish independent research programs in areas supported by the NIH HEAL InitiativeSM.This Funding Opportunity Announcement (FOA) is designed specifically for applicants proposing research that does not involve leading an independent clinical trial, a clinical trial feasibility study, an ancillary clinical trial, or an independent Basic Experimental Studies with Humans (BESH). Applicants to this FOA are permitted to propose research experience in a clinical trial led by a mentor or co-mentor. Applicants proposing an independent clinical trial, a clinical trial feasibility study, an ancillary clinical trial, or an independent BESH as lead investigator, should apply to the companion FOA (RFA-NS-22-024).</t>
  </si>
  <si>
    <t>HEAL Initiative Advanced Postdoctoral-to-Independent Career Transition Award in PAIN and SUD Research to Promote Diversity (K99/R00  Independent Basic Experimental Studies with Humans Required)</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</si>
  <si>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apply.Non-domestic (non-U.S.) components of U.S. Organizations are not eligible to apply.Foreign components, as defined in the NIH Grants Policy Statement, are allowed.</t>
  </si>
  <si>
    <t>The purpose of the NIH HEAL InitiativeSM Pathway to Independence Award (K99/R00) program is to enhance workforce diversity in the research workforce and maintain a strong cohort of new and talented independent investigators conducting Pain and/or SUD research, in order to increase the pool of diverse and independent investigator workforce in research areas supported by the NIH HEAL InitiativeSM. This program is designed to facilitate a timely transition of eligible postdoctoral researchers from their mentored, postdoctoral research positions to independent, tenure-track or equivalent faculty positions. The program will provide independent NIH research support during this transition to help awardees establish independent research programs in areas supported by the NIH HEAL InitiativeSM.This Funding Opportunity Announcement (FOA) is designed specifically for applicants proposing research to serve as the lead investigator of an independent clinical trial, a clinical trial feasibility study, an ancillary clinical trial, or an independent Basic Experimental Studies with Humans (BESH). Applicants not planning an independent clinical trial, or proposing to gain research experience in a clinical trial led by another investigator, must apply to companion FOA (RFA-NS-22-025).</t>
  </si>
  <si>
    <t>Biological Oceanography</t>
  </si>
  <si>
    <t xml:space="preserve">The Biological Oceanography Program supports fundamental research in biological oceanography and marine ecologyin environments ranging from estuarine, coastal, and open ocean systems to the deep sea, as well as in the Great Lakes.Proposals submitted to the Program must have a compelling context in population, community, or ecosystem ecology or oceanography, as well as address topics that will contribute significantly to the understanding of marine or Great Lakes ecosystems. The Program supports interdisciplinary research and often co-reviews and co-funds projects with various programs in theDivision of Ocean Sciencesand theDirectorate of Biological Sciences(BIO), among others.Details on research topics funded by the Program, including supplements, RAPIDS, and EAGERS, can be found by selecting the link under Related URLS titled:  Additional Program Information.  To view research projects funded by the Program select the link below titled  What Has Been Funded (Recent Awards Made Through This Program, with Abstracts). </t>
  </si>
  <si>
    <t>U.S. Mission to the United Nations-Geneva, Small Grants Program</t>
  </si>
  <si>
    <t>DOS-USUN</t>
  </si>
  <si>
    <t>U.S. Mission to the United Nations</t>
  </si>
  <si>
    <t>Others (see text field entitled "Additional Information on Eligibility" for clarification) U.S. Mission Geneva welcomes applications from both individuals and organizations based in Geneva or abroad, including: Not-for-profit organizations, think-tanks, civil society, nongovernmental organizations, not-for-profit educational institutions, and foreign public entities including Public International Organizations and UN organizations. For-Profit organizations or commercial entities are not eligible to apply. Eligible proposals will be subject to compliance of U.S. Federal and Public Diplomacy regulations and guidelines and may also be reviewed by the Office of the Legal Adviser or by other State Department elements. Proposals will be funded based on an evaluation of how the proposal meets the solicitation review criteria, U.S. foreign policy objectives, and Mission priorities.</t>
  </si>
  <si>
    <t>This Notice of Funding Opportunity (NOFO) outlines funding priorities, strategic areas of focus, and instructions for submitting requests for funding. Please follow all instructions carefully. 
Through its Small Grants Program, the United States Mission in Geneva is accepting project proposals that promote U.S. policy priorities in the multilateral sphere. Project should be aimed at international (not U.S.) audiences, and impact should resonate in Geneva`s multilateral environment. Projects should be implemented by an organization or individual with a presence in Geneva and/or be carried out in Geneva itself.
U.S. Mission Genevaâ€™s Small Grants Program supports projects that include, but are not limited to, the following priority areas: 
Â·  Promoting human rights, including the protection of human rights defenders
Â· Monitoring and managing the response to humanitarian crises
Â· Strengthening global public health and global health security systems
Â· Mobilizing action on climate change 
Â· Promoting transparency, accountability, and efficiency in the UN system
Â· Advancing gender across the range of Mission Genevaâ€™s priority areas
Authorizing legislation, type and year of funding: FY23 Fulbright Hays Public Diplomacy Funds
Awards will be made to successful applicants subject to the availability of appropriated funds.
For further details about the program and how to apply, please see the full notice at the link below.</t>
  </si>
  <si>
    <t>Integrated Preclinical / Clinical AIDS Vaccine Development Program (IPCAVD) (U19 Clinical Trial Not Allowed)</t>
  </si>
  <si>
    <t>The purpose of this Funding Opportunity Announcement (FOA) is to support translation of advanced HIV-1 vaccine candidates from pre-clinical studies through different phases of process and product development, Current Good Manufacturing Practice (CGMP) manufacturing and regulatory filing to the point of clinical testing. The FOA will support technology transfer, preclinical immunogenicity and optimization studies, process development, analytical assay development, qualification, validation, testing, small scale pilot or engineering runs, CGMP manufacture in partnership with Pharma/Biotech/Contract Manufacturing Organizations (CMO), quality assurance/quality control oversight, fill-finish activities, product release and storage, generation of reference standard, drug substance and drug product stability testing programs, Investigational New Drug (IND)-enabling studies, regulatory submission preparation.</t>
  </si>
  <si>
    <t>Biology Integration Institutes</t>
  </si>
  <si>
    <t>Biology has transformed science over the last century through discoveries that cross subdisciplines from the molecular to the organismal to the ecosystem level. While making great progress, biology has also slowly fragmented into subdisciplines, creating a dynamic tension between unifying principles and increasingly reductionist pursuits. The aim of this solicitation is to bring researchers together around the common goal of understanding how the processes that sustain life and enable biological innovation operate and interact within and across different scales of organization, from molecules to cells, tissues to organisms, species, ecosystems, biomes and the entire Earth. The Biology Integration Institutes (BII) program supports collaborative teams of researchers investigating questions that span multiple disciplines within and beyond biology.
Integration across biological disciplines is essential if we hope to understand the diverse and ever-increasing data streams of modern biology and tackle emergent questions about living organisms and the environment. Of equal importance is the need for groundbreaking and sustainable training programs that prepare the next generations of scientists to navigate the breadth of biological sciences, training in multiple disciplines without sacrificing depth of learning or innovation. In addition, the biology community must continue to develop practices and adopt strategies that leverage rapid advances in cyberinfrastructure and other technologies to bridge and integrate across subdisciplines and make resources accessible, re-usable, and adaptable for unanticipated purposes. In these ways, Biology Integration Institutes will focus on biological themes that enable the discoveries of life s innovations. The outcomes from biological integration will inspire new biotechnologies and applications to drive our bioeconomy and provide solutions to societal challenges. While this solicitation focuses on the integration of biological subdisciplines, any field beyond biology may be included as needed to address the overarching biological theme.</t>
  </si>
  <si>
    <t>Expanding AI Innovation through Capacity Building and Partnerships</t>
  </si>
  <si>
    <t xml:space="preserve">Others (see text field entitled "Additional Information on Eligibility" for clarification) *Who May Submit Proposals: Proposals may only be submitted by the following:
  - 
 Proposals may be submitted only by a minority-serving college or university meeting the criteria listed under 'Eligible Institutions of Higher Education' in this program solicitation. 
 Only eligible organizations that have received an official Program Officer Concurrence Email inviting a full proposal may submit a full proposal. To receive the invitation, potential proposers must submit a Concept Outline document and receive an official response (via email) from a cognizant Program Director.Please see section V.A for details. 
*Who May Serve as PI:
The Principal Investigator must hold a full-time faculty appointment or be a senior administrator at an eligible Institution as defined in the 'Eligible Institutions of Higher Education' section.
 In PARTNER proposals only, a co-PI must be identified to represent each partnering AI Institute. That co-PI must be verified by the Institute Director in the Institute Integration Plan as being among the senior/key personnel of the institute. </t>
  </si>
  <si>
    <t xml:space="preserve">
The National Science Foundation and its partners support the continued growth of a broad and diverse interdisciplinary research community for the advancement of AI and AI-powered innovation, providing a unique opportunity to broadly promote the NSF vision and core values, especially inclusion and collaboration. TheExpanding AI Innovation through Capacity Building and Partnerships (ExpandAI) program aims to significantly broaden participation in AI research, education, and workforce development through capacity development projects and through partnerships within the National AI Research Institutes ecosystem.
</t>
  </si>
  <si>
    <t>Atmospheric and Geospace Sciences Postdoctoral Research Fellowships</t>
  </si>
  <si>
    <t>Others (see text field entitled "Additional Information on Eligibility" for clarification) *Who May Submit Proposals: Proposals may only be submitted by the following:
  -
AGS Postdoctoral Research Fellowship proposals are submitted to NSF directly by individuals who meet the eligibility criteria described below. Each individual (also referred to as proposer) must identify one or more scientific mentor(s) and host institution(s) in the proposal. Activities supported by the AGS Fellowship program may be conducted at any appropriate U.S. host institution as defined in the Program Description.
*Who May Serve as PI:
An individual is eligible to submit a proposal to the NSF AGS Postdoctoral Research Fellowship program if all the following criteria are met:
_x000D_
Individual eligibility criteria:
_x000D_
 _x000D_
 Be U.S. citizens (or nationals) or legally admitted permanent residents of the United States (i.e., have a  green card ) at the time the proposal is submitted. _x000D_
 Present research and professional development plans that fall within the purview of the Atmospheric and Geospace Science Sections within the Division of Atmospheric and Geospace Sciences at NSF ( a href= _x000D_
 Meet one of the following criteria: _x000D_
 _x000D_
_x000D_
_x000D_
 _x000D_
 be currently a graduate student; _x000D_
 _x000D_
 OR_x000D_
 _x000D_
 have held a PhD degree in a scientific or engineering field for no more than 2 years at time of submission; _x000D_
 _x000D_
 OR_x000D_
 _x000D_
 have less than the equivalent of 18 months full time employment at time of submission if more than 2 years have elapsed since the PhD degree was conferred. To affirm eligibility under this criterion, the proposer must include specific language in the Biographical Sketch. _x000D_
 _x000D_
_x000D_
_x000D_
_x000D_
Fellowship location criteria:
_x000D_
 _x000D_
 Proposers are encouraged to expand the network of collaborators and implement the Fellowship at an institution new to the proposer. However, proposers who choose to carry out the postdoctoral Fellowship at the institution where they received their PhD or their current institution at the time of submission must meet these three conditions: (1) have been at this institution for at least 12 months at the time of submission; (2) present a strong justification and clearly explain the benefits of this choice to their research and professional development goals; and (3) have two scientific mentors, one at the hosting institution and a second mentor at a different institution and/or department who is a new collaborator with the proposer. _x000D_
 _x000D_
 _x000D_
 National centers, facilities or institutes funded by other federal agencies, such as NASA, NOAA, EPA or the U.S. Department of Energy, are ineligible as host institutions. _x000D_
 _x000D_
If a proposer fails to meet any eligibility criterion, their proposal will be returned without review. Proposers uncertain about the eligibility requirements are strongly encouraged to contact a cognizant NSF Program Officer listed in this solicitation.
_x000D_
 span style= text-decoration: underline; Awardees must begin the Fellowship within 6 months of notification of an award . NSF review typically takes 3-6 months. If you are a current graduate student, please consider the review timeframe in your decision when to apply. Awardees who have not received their PhD at the time of proposal submission must present a form certifying their PhD prior to starting a Fellowship.
_x000D_
Proposals that fail to meet the above eligibility requirements will be returned without review.
_x000D_
By signing and submitting the proposal, the fellowship candidate is certifying that they meet the eligibility criteria specified in this program solicitation. Willful provision of false information in this request and its supporting documents or in reports required under an ensuing award is a criminal offense (U.S. Code, Title 18, Section 1001).</t>
  </si>
  <si>
    <t>The Division of Atmospheric and Geospace Sciences (AGS), awards Postdoctoral Research Fellowships (PRF) to highly qualified early career investigators to carry out an independent research program. The research plan of each Fellowship must address scientific questions within the scope of AGS disciplines. These disciplines include Atmospheric Chemistry (ATC), Climate and Large-Scale Dynamics (CLD), Paleoclimate (PC), and Physical and Dynamic Meteorology (PDM) in the Atmospheric Sciences, and Aeronomy (AER), Magnetospheric Physics (MAG), Solar Terrestrial (ST), and Space Weather Research (SWR) in the Geospace Sciences.
_x000D_
The AGS-PRF program supports researchers (also known as Fellows) for a period of up to 24 months with Fellowships that can be taken to the institution of their choice. The program is intended to recognize beginning investigators of significant potential and provide them with experiences in research that will broaden perspectives, facilitate interdisciplinary interactions, and help establish them in leadership positions within the Atmospheric and Geospace Sciences community. Fellowships are awards to individual Fellows, not institutions, and are administered by the Fellows.
_x000D_
AGS has made it a priority to address challenges in creating an inclusive geoscience discipline through activities that increase belonging, accessibility, justice, equity, diversity, and inclusion (BAJEDI). Proposers are encouraged to explicitly address this priority in their proposed activities. Proposers who are women, veterans, persons with disabilities, and underrepresented minorities in science, technology, engineering, and mathematics (STEM), or who have attended two-year colleges and minority-serving institutions for undergraduate or graduate school, or plan to conduct their Fellowship activities at one of these institutions (e.g. Historically Black Colleges and Universities, Tribal Colleges and Universities, Hispanic Serving Institutions, Alaska Native Serving Institutions, and Hawaiian Native and Pacific Islander Serving Institutions) are especially encouraged to apply.</t>
  </si>
  <si>
    <t>NINR Areas of Emphasis for Research to Optimize Health and Advance Health Equity (R21 Clinical Trial Optional)</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</si>
  <si>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</si>
  <si>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This funding announcement solicits R21 grant applications that propose exploratory/developmental research projects that are consistent with the research framework detailed in the 2022-2026 National Institute of Nursing Research (NINR) Strategic Plan. This research will be rooted in nursing's holistic, contextualized approach to understanding people and their health, address the nation's most pressing and persistent health challenges with a solutions orientation, and employ innovative and rigorous study designs to inform practice and policy.</t>
  </si>
  <si>
    <t>NINR Areas of Emphasis for Research to Optimize Health and Advance Health Equity (R01 Clinical Trial Optional)</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</si>
  <si>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</si>
  <si>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This funding announcement solicits R01 grant applications that propose independent research projects that are consistent with the scientific framework detailed in the 2022-2026 National Institute of Nursing Research (NINR) Strategic Plan. This research will be rooted in nursing's holistic, contextualized approach to understanding people and their health, address the nation's most pressing and persistent health challenges with a solutions orientation, and employ innovative and rigorous study designs to inform practice and policy.</t>
  </si>
  <si>
    <t>Time-Sensitive Opportunities for Health Research (R61/R33 Clinical Trial Not Allowed)</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</si>
  <si>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apply.Non-domestic (non-U.S.) components of U.S. Organizations are eligible to apply.Foreign components, as defined in the NIH Grants Policy Statement, are allowed.</t>
  </si>
  <si>
    <t>This Funding Opportunity Announcement (FOA) establishes an accelerated review/award process to support research to understand health outcomes related to an unexpected and/or time-sensitive event (e.g., emergent environmental threat; pandemic; change in local, state, or national policy; natural disaster). Applications in response to this FOA must demonstrate that the research proposed is time-sensitive and must be initiated with minimum delay due to a limited window of opportunity to collect baseline data, answer key research questions, and/or prospectively evaluate a new policy or program. This FOA is intended to support opportunities in which empirical study could only be available through expedited review and funding, necessitating a substantially shorter process than the typical NIH grant review/award cycle. The time from submission to award is expected to occur within 4-5 months. However, administrative requirements and other unforeseen circumstances may delay issuance dates beyond that timeline.</t>
  </si>
  <si>
    <t>Catalyst Award for Early-Stage Investigators (ESIs) Pursuing Research on HIV Comorbidities, Coinfections, and Complications (DP1- Clinical Trial Optional)</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</si>
  <si>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</si>
  <si>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This Funding Opportunity Announcement (FOA) supports research from creative early stage investigators who propose highly innovative, pioneering studies with potential to open new areas of HIV/AIDS related to coinfections, comorbidities, and complications. Projects should reflect new and novel scientific directions that are distinct from concepts and approaches being pursued in the investigators research program or elsewhere. Projects must be consistent the scientific priorities outlined by the NIH Office of AIDS Research (OAR). These priorities have been most recently been described in NOT-OD-20-018.</t>
  </si>
  <si>
    <t>Specialized Centers of Research Excellence (SCORE) on Sex Differences (U54 Clinical Trial Optional)</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</si>
  <si>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</si>
  <si>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ORWH and participating organizations and institutes seek applications for Specialized Centers of Research Excellence (SCORE) on Sex Differences. The Centers of Excellence will support interdisciplinary approaches to advance translational research on sex differences. Each SCORE institution should develop a research agenda bridging basic and clinical research underlying a health issue that is pertinent to improving the health of women.</t>
  </si>
  <si>
    <t>NSF's Eddie Bernice Johnson Inclusion across the Nation of Communities of Learners of Underrepresented Discoverers in Engineering and Science (INCLUDES) Initiative</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</si>
  <si>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-State and Local Governments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</si>
  <si>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 xml:space="preserve">
In 2016, the National Science Foundation (NSF) unveiled a set of  Big Ideas,  10 bold, long-term research and process ideas that identify areas for future investment at the frontiers of science and engineering (see https://www.nsf.gov/news/special_reports/big_ideas/index.jsp). The Big Ideas represent unique opportunities to position our Nation at the cutting edge of global science and engineering leadership by bringing together diverse disciplinary perspectives to support convergence research. As such, when responding to this solicitation, even though proposals must be submitted to the Directorate for STEM Education (EDU) / Division of Equity for Excellence in STEM (EES), once received, the proposals will be managed by a cross-disciplinary team of NSF Program Directors.
The INCLUDESInitiative is a comprehensive, national effort to enhance U.S. leadership in science, technology, engineering, and mathematics (STEM) discovery and innovation, focused on NSF s commitment to ensuring accessibility and inclusivity in STEM fields, as communicated in the NSF Strategic Plan for Fiscal Years (FY) 2022 - 2026. The vision of the INCLUDES Initiative is to catalyze the STEM enterprise to work collaboratively for inclusive change, resulting in a STEM workforce that reflects the Nation s population. More specifically, the INCLUDES Initiative seeks to motivate and accelerate collaborative infrastructure building to sustain systemic change to broaden participation in STEM fields at scale.Significant advancement of the INCLUDES Initiative's goalswill result in a new generation of STEM talent and leadership to secure the Nation s future and long-term economic competitiveness.
With this solicitation, NSF offers support for five types of projects that connect and contribute to the National Network: (1) Design and Development Launch Pilots, (2) Collaborative Change Consortia, (3) Alliances, (4) Network Connectors, and (5) Conferences. The INCLUDES National Network is a multifaceted collaboration of agencies, organizations, and individuals working collectively to broaden participation in STEM. The INCLUDES National Network serves as a testbed for designing, implementing, studying, refining, and scaling collaborative change modelsand is composed of:
INCLUDES funded projects
Other NSF funded projects
Subcommittee on Federal Coordination in STEM Education (FC-STEM) agencies
Scholars engaged in broadening participation research and evaluation, and
Organizations that support the development of talent from all sectors of society to build an inclusive STEM workforce.
All INCLUDES funded projects must operationalize five design elements of collaborative infrastructure - (1) shared vision, (2) partnerships, (3) goals and metrics, (4) leadership and communication, and (5) expansion, sustainability, and scale- to create systemic change that broadens participation in STEM.
</t>
  </si>
  <si>
    <t>NSF Dynamic Language Infrastructure - NEH Documenting Endangered Languages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</si>
  <si>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Tribal organizations and other American Indian, Alaska Native, and Native Hawaiian serving organizations.
*Who May Serve as PI:
There are no program-specificrestrictions or limits.</t>
  </si>
  <si>
    <t>This funding partnership between the National Science Foundation (NSF) and the National Endowment for the Humanities (NEH) supports projects to develop and advance knowledge concerning dynamic language infrastructure in the context of endangered human languages   languages that are both understudied and at risk of falling out of use. Made urgent by the imminent loss of roughly half of the approximately 7,000 currently used languages, this effort aims to exploit advances in human-language technology to build computational infrastructure for endangered language research. The program supports projects that contribute to data management and archiving, and to the development of the next generation of researchers. Funding can support fieldwork and other activities relevant to the digital recording, documentation and analysis, and archiving of endangered language data, including the preparation of lexicons, grammars, text samples, and databases. Funding is available in the form of one- to three-year senior research grants and conference proposals. Fellowship support is available through a separate funding opportunity administered by NEH.
Note: a conference proposal should generally be submitted at least a year in advance of the scheduled date of the conference. For additional information about creating and submitting conference proposals, please refer to PAPPG Chapter II. E.9.</t>
  </si>
  <si>
    <t>Dynamic Language Infrastructure-Doctoral Dissertation Research Improvement Grants</t>
  </si>
  <si>
    <t>Others (see text field entitled "Additional Information on Eligibility" for clarification) *Who May Submit Proposals: Proposals may only be submitted by the following:
  -
Institutions of Higher Education (IHEs) - Ph.D granting IHEs accredited in, and having a campus located in the U.S. acting on behalf of their faculty members.
*Who May Serve as PI:
DLI-DDRI proposals must be submitted with a principal investigator (PI) and a co-principal investigator (co-PI). The PI must be the advisor of the doctoral student or another faculty member at the U.S.IHE where the doctoral student is enrolled. The doctoral student must be the co-PI.</t>
  </si>
  <si>
    <t>This program supports doctoral research focusing on building dynamic language infrastructure (DLI). Developing language infrastructure includes the documentation and preservation of languages in ways that articulate or advance linguistic theory, as well as the use of digitization techniques and novel computational methods that support and advance the study of language. Special emphasis is given to languages that are endangered, i.e., understudied and at risk of falling out of use. The program supports the development of the next generation of researchers that contribute to language data management and archiving and to the analysis of these archives to advance language infrastructure. Funding can support fieldwork and other activities relevant to the digital recording, documenting and archiving of endangered languages, including the preparation of lexicons, grammars, text samples and databases. Funding in this solicitation is in the form of doctoral dissertation research improvement grants (DDRIs) for up to 24 months and this solicitation addresses the preparation and evaluation of proposals for DDRI proposals.</t>
  </si>
  <si>
    <t>Computational and Data-Enabled Science and Engineering in Mathematical and Statistical Sciences</t>
  </si>
  <si>
    <t>The CDS E-MSS program accepts proposals that engage with the mathematical and statistical challenges presented by (1) the ever-expanding role of computational experimentation, modeling, and simulation on the one hand, and (2) the explosion in production and analysis of digital data from experimental and observational sources on the other. The goal of the program is to promote the creation and development of the next generation of mathematical and statistical software tools, and the theory underpinning those tools, that will be essential for addressing these challenges.
The research supported by the CDS E-MSS program will aim to advance mathematics or statistics in a significant way and will address computational or big-data challenges. Proposals of interest to the program must include a Principal Investigator or co-Principal Investigator who is a researcher in an area supported by the Division of Mathematical Sciences. The program welcomes submission of proposals that include multidisciplinary collaborations or provide opportunities for training through research involvement of junior mathematicians or statisticians.This program is part of the wider NSFComputational and Data-enabled Science and Engineering (CDS E) enterprise.</t>
  </si>
  <si>
    <t>Inclusion IIb</t>
  </si>
  <si>
    <t>The United States Agency for International Development (USAID) in Vietnam (USAID/Vietnam) is seeking applications for a Cooperative Agreement from qualified entities to implement the â€œInclusion IIbâ€ program. The project aims to improve the quality of life of persons with disabilities. Under this NOFO, selected applicant(s) will be working in both provinces of Binh Dinh and Kon Tum (Vietnam).</t>
  </si>
  <si>
    <t>Division of Chemistry: Disciplinary Research Programs: No Deadline Pilot</t>
  </si>
  <si>
    <t xml:space="preserve">With this solicitation, the Division of Chemistry is piloting the removal of deadlines for the submission of proposals to the CLP, CSD and CTMC Programs.
The no-deadline pilot seeks to assess the benefits and challenges of removing deadlines in proposal submission for the chemistry research community: the removal of deadlines on proposal submission is intended to allow principal investigators (PIs) more flexibility and better facilitate interdisciplinary research. It may, however, have unanticipated consequences for PIs, reviewers, and institutions.
This solicitation applies only to the Chemistry of Life Processes (CLP), Chemical Structure and Dynamics (CSD), and Chemical Theory, Models and Computational Methods (CTMC) programs. Other than the following exceptions, all proposals submitted to the CLP, CSD, and CTMC programs must be submitted through this solicitation, otherwise they will be returned without review.
Exceptions:
Faculty Early Career Development Program (CAREER) proposals should be submitted through the CAREER solicitation (https://www.nsf.gov/funding/pgm_summ.jsp?pims_id=503214) by the CAREER deadline date specified.
Facilitating Research at Primarily Undergraduate Institutions: Research in Undergraduate Institutions (RUI) and Research Opportunity Awards (ROA) proposals should be submitted through the RUI/ROA solicitation (https://www.nsf.gov/funding/pgm_summ.jsp?pims_id=5518). In addition to the requirements of the RUI program, proposals should follow the guidance in this solicitation. Proposals submitted through the RUI/ROA solicitation to the CLP, CSD, and CTMC programs can be submitted at any time starting September 1, 2022.
Proposals for Early-concept Grants for Exploratory Research (EAGER), Grants for Rapid Response Research (RAPID), Research Advanced by Interdisciplinary Science and Engineering (RAISE), and conferences can be submitted anytime after consultation with the cognizant NSF Program Officer.
Supplemental funding requeststo existing grantscan be submitted anytime after consultation with the cognizant NSF Program Officer.
</t>
  </si>
  <si>
    <t>Mid-Career Advancement</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</si>
  <si>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PIs must be a) at the Associate Professor rank (or equivalent; see Additional Eligibility Information) and b) at that rank for at least 3 years by the proposal submission date. PIs must have current or proposed research that falls within the purview of aparticipating disciplinary program.
 Pilot PUI Track in Directorates for Biological Sciences and Geosciences only, extends PI eligibility: Researchers atthe Full Professor rank (or equivalent; see Additional Eligibility Information) at PUI institutions only and with proposed researchthat falls within the purview of a participating program within the Directorate for Biological Sciences or the Directorate for Geosciences may also apply. 
The collaborative partner(s) may not be listed as co-principal investigator(s) on the cover page. Instead the partner(s) should be designated as senior/key personnel or consultants.</t>
  </si>
  <si>
    <t>The MCA program offers an opportunity for scientists and engineers at the mid-career stage (see restrictions under Additional Eligibility Information) to substantively enhance and advance theirresearch program and career trajectory. Mid-career scientists are at a critical career transition stage where they need to advance their research programs to ensure long-term productivity and creativity but are often constrained by service, teaching, or other activities that limit the amount of time devoted to research. MCA support is expected to help lift these constraints to reduce workload inequities and enable a more diverse scientific workforce (more women, persons with disabilities, and individuals from groups that have been underrepresented) at high academic ranks.
The MCA program provides protected time, resources, and the means to gain new skills through synergistic and mutually beneficial partnerships, typically at an institution other than the candidate's home institution. Partners from outside the Principal Investigator's (PI) own subdiscipline or discipline are encouraged, but not required, to enhance interdisciplinary networking and convergence across science and engineering fields. Research projects that envision new insights on existing problems or identify new problems made accessible with cutting-edge methodology or expertise from other fields are encouraged.
A key component of a successful MCA will be the demonstration that the PI's currentresearchprogram could substantively benefit from the protected time, mentored partnership(s), and resources provided through this program, such thatthere is a substantial enhancement to the PI's research and career trajectory, enabling scientific and academic advancementnot likely without this support.
The MCA is the only cross-directorate NSF program specifically aimed at providing protected time and resources to established scientists and engineers targeted at the mid-career stage.Participating programs in the Directorates for Biological Sciences (BIO), Geosciences (GEO), Social, Behavioral and Economic Sciences (SBE), and Education and Human Resources (EHR) will accept MCA proposals. To help identify the disciplinary program in which the MCA should be reviewed, PIs are urged to investigate the research areas supported by the different directorates and participating programs.
PIs are strongly encouraged to discuss the suitability of their MCA proposal with a Program Officer from the appropriate directorate (seehttps://new.nsf.gov/funding/opportunities/mca-mid-career-advancement/announcements/111199).PIs from EPSCoR jurisdictions are especially encouraged to apply.</t>
  </si>
  <si>
    <t>Mental Health Research Dissertation Grant to Enhance Workforce Diversity (R36 Independent Clinical Trial Not Allowed)</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</si>
  <si>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</si>
  <si>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Reissue of PAR-21-325: The purpose of this Funding Opportunity Announcement (FOA) is to enhance the diversity of the mental health research workforce by providing dissertation awards in all research areas within the strategic priorities of the NIMH to individuals from backgrounds underrepresented in biomedical, behavioral, clinical and social sciences research. This award supports the completion of the doctoral research project.</t>
  </si>
  <si>
    <t>EXPANDING PARTNERSHIPS AND ADVANCING LOCALIZATION (EPAL)</t>
  </si>
  <si>
    <t>USAID-HON</t>
  </si>
  <si>
    <t>Honduras USAID-Tegucigalpa</t>
  </si>
  <si>
    <t>Others (see text field entitled "Additional Information on Eligibility" for clarification) Eligibility is restricted to Local Entities only.</t>
  </si>
  <si>
    <t>The Localization APS will facilitate partnerships with local organizations to advance the implementation of the Mission's Country Development Cooperation Strategy (CDCS) and the Root Causes Strategy in Honduras. USAID/Honduras will engage, strengthen, and fund local organizations to address priorities in economic growth, education, citizen security, and democracy and governance. This APS seeks to empower local actors to lead the identification of challenges and propose and implement solutions in their own context.</t>
  </si>
  <si>
    <t>Young Southeast Asian Leaders Initiative - Mekong Leadership Program</t>
  </si>
  <si>
    <t>Others (see text field entitled "Additional Information on Eligibility" for clarification) Organizations eligible to apply under this NOFO includes non-profit or for-profit non-governmental organizations, inclusive of, foundations, colleges and universities, private businesses and associations and excludes public international organizations and governmental organizations.</t>
  </si>
  <si>
    <t>The United States Agency for International Development in Vietnam (USAID/Vietnam) is seeking applications from qualified entities to implement the Young Southeast Asian Leaders Initiative (YSEALI) - Mekong Leadership Program. The overall objective of this activity is to expand the YSEALI with a particular focus on the Mekong sub-region. Drawing on experience from the Young African Leaders Initiative - Regional Leadership Centers, this activity proposes to establish a YSEALI - Mekong Leadership Program (YSEALI-MLP).</t>
  </si>
  <si>
    <t>Short-term Mentored Career Enhancement Award in Dental, Oral, and Craniofacial Research for Mid-Career and Senior Investigators (K18- Independent Clinical Trial Not Allowed)</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</si>
  <si>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</si>
  <si>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the NIDCR Short-term Mentored Career Enhancement (K18) awards in dental, oral, and craniofacial (DOC) research is to provide mid-career and senior investigators with short-term (2.5 months up to 12 months project period) career development experiences in the theories, tools, methods, or approaches of another scientific area to enhance their existing research programs and to broaden opportunities for research experiences and collaborations. Two categories of candidates are targeted: (a) established DOC research investigators who seek training with investigators from another field to enrich their existing DOC research program; and (b) established investigators in other fields who seek training with DOC research investigators to facilitate the introduction of DOC research into an existing research program.This Funding Opportunity Announcement (FOA) is designed specifically for candidates proposing research that does not involve leading an independent clinical trial, a clinical trial feasibility study, or an ancillary clinical trial. Under this FOA candidates are permitted to propose a research experience in a clinical trial led by a mentor or co-mentor.</t>
  </si>
  <si>
    <t>Tactical Behaviors for Autonomous Maneuver</t>
  </si>
  <si>
    <t>Others (see text field entitled "Additional Information on Eligibility" for clarification) It is our goal for the program to include a diverse group of Applicants with varied long-term interests.Applicants may be institutions of higher education, for-profit, or non-profit organizations. FederallyFunded Research and Development Centers (FFRDC) may propose as well, with effort as allowed bytheir sponsoring agency and in accordance with their sponsoring agency policy. Proposals may consistof teams from any combination of organizations (e.g., prime and subawardees), but this is not arequirement for award and award will only be made to a single entity.</t>
  </si>
  <si>
    <t>**UPDATE 5 APRIL 2024: The proposal submission date has been updated to 24 April 2024. The FOA has been amended to reflect this submission date and include a Question and Answer document based on questions received from interested applicants. Other than the updated proposal submission date in the FOA, the actual FOA Amendment has not been changed. However, the answers provided in the Q A document are considered part of the FOA Amendment.**
**CYCLE 2 UPDATE 20 MARCH 2024 - THE OPPORTUNITY WEBINAR FOR CYCLE 2 WILL BE HELD ONLINE VIA MS TEAMS AT 1500 EDT ON 22 MARCH 2024 AT THE FOLLOWING LINK:
https://dod.teams.microsoft.us/l/meetup-join/19%3adod%3ameeting_5fa41fe6fa874484b473d8a6ba7921c6%40thread.v2/0?context=%7b%22Tid%22%3a%22fae6d70f-954b-4811-92b6-0530d6f84c43%22%2c%22Oid%22%3a%22e9f6fc39-8f22-44e5-8bd0-64f0cde32305%22%2c%22IsBroadcastMeeting%22%3atrue%7d
**UPDATE 14 MARCH 2024 - CYCLE 2 HAS BEEN POSTED TO THE ANNOUNCEMENT. PLEASE REVIEW THE UPDATED ANNOUNCEMENT IN FULL FOR SUBMISSION TIME, UPDATED TOPIC, AND FUNDING AMOUNT AND SCHEDULE CHANGES FROM CYCLE 1**
TACTICAL BEHAVIORS FOR AUTONOMOUS MANEUVER COLLABORATIVE RESEARCH PROGRAM (TBAM-CRP)
Future Army forces will be called upon to operate and maneuver in multi-domain
operations (MDO), against a modern and capable peer adversary. The battlefield of the future
may impose additional constraints on maneuver forces such as disruption in communication as
well as positioning services. To field a highly capable fighting force in this future battlefield,
novel tactics and doctrines leveraging nascent technologies in robotics and autonomous systems
(RAS) will need to be developed. Teams of RAS will serve an increasingly critical role in the
future force to deliver situational awareness, defend key locations or positions, or take point in
dynamic and hazardous situations. Resilience to disruptions, failures, or unexpected scenarios, is
a key quality for teams of RAS to operate alongside other future Army forces. The US Army
Combat Capabilities Development Command (DEVCOM) Army Research Laboratory (ARL) is
focused on developing fundamental understanding and informing the art-of-the-possible for
warfighter concepts through research to greatly improve the scope of mission capabilities of
teams of RAS, develop robust and resilient approaches to plan under extreme conditions of
uncertainty, to learn coordinated strategies for groups of agents to achieve a common objective,
all within a complex maneuver environment including adversaries. The Tactical Behaviors for
Autonomous Maneuver Collaborative Research Program (TBAM-CRP) is focused on developing
and experimentally evaluating coordinated and individual behaviors for small groups of
autonomous agents to learn doctrinal as well as novel tactics for maneuvering in military relevant
environments. The TBAM-CRP will leverage developments in other internal and extramural
programs as well as identify new research directions to find novel solutions to these maneuver
problems in analogical simulations representing complex realistic terrain.
The Tactical Behaviors for Autonomous Maneuver Collaborative Research Program (TBAM-CRP) will
consist of a series of sprint efforts executed with annual program reviews. Each topic will be focused on
addressing a different set of scientific areas which will support the research aims of an associated ARL
researcher from a related internal essential research program (ERP) or mission-funded program.
The TBAM-CRP has been developed in coordination with other related ARL-funded collaborative efforts
(see descriptions of ARL collaborative alliances at https://www.arl.army.mil/business/collaborativealliances/)
and shares a common vision of highly collaborative academia-industry-government
partnerships; however, it will be executed with a program model adapted from the Scalable, Adaptive,
and Resilient Autonomy (SARA), which established a new paradigm for collaborative research. Some
key properties of this new approach are described below:
â€¢ TBAM-CRP sprint topics will be offered on a two-year cycle. Proposals will be solicited for a
possible two-year period structured as a first-year pilot followed by a second-year option where
the option may be awarded based upon progress assessed at an annual review. The FOA will be
amended annually to identify a specific problem statement and scope for that specific cycle. The
topics for each cycle will be chosen to address the long-term program goal.
â€¢ Five new topics (Cycles 1-5) are expected in FY22, 24, 26, 28, 30. Each topic will be carefully
chosen based on the previous accomplishments in the prior cycle(s), the development of new
technologies and capabilities in the broader research and development communities, and the
Armyâ€™s evolving needs for future capabilities.
â€¢ For each topic, funding will be provided to those Recipients selected under a cooperative
agreement (CA).
â€¢ Enhanced Research Program funding from ARL or Other Government Agencies (OGAs) may
become available during a cycle which provides a mechanism for growth and enhancement within
the TBAM-CRP. A proposal should not include any discussion of the Enhanced Research
Program. Recipients receiving a CA will be notified and provided details if the opportunity for
Enhanced Research Program funding becomes available during their award period of
performance.
â€¢ There is no limitation on the place of performance, although on-site collaboration at ARL
facilities and with ARL researchers as well as with other Recipients are encouraged. Research
outcomes in this program must, at the very least, be demonstrated in sophisticated simulations of
relevant environments. Together with ARL collaborators, these results may be adapted for higher
TRL experimentation on surrogate platforms at ARL test facilities such as the Robotics Research
Collaboration Campus (R2C2) at Graces Quarters, Aberdeen Proving Ground, Maryland.
â€¢ Recipients will be furnished with access to the ARL Autonomy Stack software suite as well as all
relevant simulation tools and multi-agent learning support.
â€¢ Recipients will be provided with information about the current state of the Autonomous Systems
Enterprise (ASE) with an overview of developments in the associated collaborative research
alliances including Distributed and Collaborative Intelligent Systems and Technology (DCIST),
Scalable, Adaptive, and Resilient Autonomy (SARA), as well as internal ARL essential research
programs including the AI for Maneuver and Mobility (AIMM), Emerging Overmatch
Technologies (EOT), and Versatile Tactical Power and Propulsion (VICTOR). Capabilities
demonstrated in simulation should reflect significant appropriate developments. This midpoint
review is expected to take place as a mini symposium where Recipients can share results with
one another along with the ARL community to foster further collaboration.
â€¢ At the end of the second year, a capstone demonstration will be executed by those Recipients
receiving an option to their award in a set of simulated relevant environments, either those
environment scenarios provided by the Government and other program performers, or optionally
of a specific environment developed by the Recipient to exhibit their developed capability. Any
system level capability demonstration that can be made with the internal ARL collaborator or
description of capability development and program contribution can also be made at this time.
These system demonstrations are expected to coincide to foster further integration and adoption
with related internal research programs as well as partner organizations from within the
DEVCOM, other Army and DoD service branches and agencies, in addition to other government
agencies.
Proposals that follow the requirements of the FOA will be evaluated in accordance with merit-based,
competitive procedures. These procedures will include evaluation factors and an adjectival and color
rating system. A review team, consisting of a qualified group of Government scientists and managers
will evaluate the compliant proposals and provide the results of that evaluation to the decision-maker for
the Government. Relevant internal research program materials approved for public release and contact
information will be provided to potential proposers during introductory presentations to help facilitate
identification of collaboration between proposers and individual ARL researchers or internal research
programs. Additional connections to ARL programs can be identified during the proposal review process.
Eligible applicants under this FOA include institutions of higher education, nonprofit organizations, and
for-profit organizations (i.e., large and small businesses) for scientific research in the knowledge domains
outlined throughout this Funding Opportunity. Federally Funded Research and Development Centers
(FFRDC) may propose as well, with effort as allowed by their sponsoring agency and in accordance with
their sponsoring agency policy.</t>
  </si>
  <si>
    <t>Opportunities for Promoting Understanding through Synthesis</t>
  </si>
  <si>
    <t xml:space="preserve">Synopsis of Program:
_x000D_
_x000D_
The OPUS program is targeted to individuals, typically at later-career stages, whohave contributed significant insights to a field or body of research over time. The program provides an opportunity to revisit and synthesize that prior research into a unique, integrated product(s) useful to the scientific community, now and in the future.
_x000D_
All four clusters within the Division of Environmental Biology (Ecosystem Science, Evolutionary Processes, Population and Community Ecology, and Systematics and Biodiversity Science) encourage the submission of OPUS proposals.
_x000D_
</t>
  </si>
  <si>
    <t>NEI Cooperative Agreement for Early-Stage Clinical Trials with Greater than Minimal Risk (U01 Clinical Trial Required)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</si>
  <si>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</si>
  <si>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NEI uses U01 cooperative agreement awards to support investigator-initiated early-stage clinical trials that are greater than minimal risk and typically are Phase I or II trials. The risk level of the U01 trial requires appropriate performance oversight and safety monitoring. For purposes of this FOA, the proposed study must be intended to evaluate interventions aimed at screening, diagnosing, preventing, or treating vision disorders.</t>
  </si>
  <si>
    <t>Vietnam Action Against Plastic Pollution</t>
  </si>
  <si>
    <t>The United States Agency for International Development in Vietnam (USAID/Vietnam) is seeking applications from qualified entities to implement the "Vietnam Action Against Plastic Pollution" activity. The overall objective of this activity is to reduce ocean plastic pollution at its source in Vietnam through strategic approaches such as convening stakeholdersâ€™ power, promoting the creation and implementation of data-driven policies, enhancing knowledge and sharing learning, promoting appropriately scaled technology and solutions, and providing technical expertise and building capacity of local governments to manage waste at its source and prevent plastic pollution in our oceans.</t>
  </si>
  <si>
    <t>Dynamics, Control and Systems Diagnostics</t>
  </si>
  <si>
    <t>The Dynamics, Control and Systems Diagnostics (DCSD) program supports fundamental theoretical, computational, and experimental research that is knowledge-driven or inspired by applications, focusing on the modeling, analysis, diagnostics and control of the dynamic behavior of systems. Proposals submitted to the DCSD program should articulate how the proposed work advances knowledge in at least one of the following foundational areas:
Modeling: mathematical frameworks to understand and predict the behavior of dynamic systems.
Analysis: theoretical and computational tools for discovery and exploration of salient properties of dynamic systems.
Diagnostics: methods to relate underlying causes to observed behaviors of dynamic systems.
Control: methods to produce desired behavior, or mitigate undesired behavior, in dynamic systems.
The DCSD program encourages principal investigators (PIs) to request the amount of financial support necessary and sufficient to achieve the scope of the proposed research and to justify this accordingly.
PIs are encouraged to send a one-page Project Summary to dcsd@nsf.gov to receive feedback from the Program Directors on whether the project aligns with DCSD program objectives.</t>
  </si>
  <si>
    <t>Leveraging Health Information Technology (Health IT) to Address  and Reduce Health Care Disparities (R01 Clinical Trial Optional)</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</si>
  <si>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not allowed.</t>
  </si>
  <si>
    <t>This funding opportunity announcement (FOA) seeks to support research that examines the impact of leveraging health information technology (health IT) to reduce health care disparities in access to care, patient-clinician communication, and health outcomes for populations that experience health disparities in the U.S.</t>
  </si>
  <si>
    <t>Facilities for Atmospheric Research and Education</t>
  </si>
  <si>
    <t>To facilitate fundamental research in the atmospheric sciences, the Division of Atmospheric and Geospace Sciences (AGS) supports state-of-the-art instruments and facilities through the Facilities for Atmospheric Research and Education (FARE) Program. The FARE Program includes the Lower Atmosphere Observing Facilities (LAOF) and the Community Instruments and Facilities (CIF).
_x000D_
Lower Atmospheric Observing Facilities
_x000D_
The National Science Foundation (NSF) Division of Atmospheric and Geospace Sciences (AGS)Lower Atmospheric Observing Facilities (LAOF) Program oversees a portfolio of multi-user national facilities that are sponsored by NSF for use by the geosciences research community. Program management resides within AGS in the NCAR and Facilities Section (NFS) which provides a single point for coordination of planning and resources.The LAOF program enables geoscience research through the provision of specialized facilities, instrumentation, and field support services necessary to carry out the scientific field work associated with investigations of a wide range of geophysical phenomena. The program is actively involved in oversight of LAOF facilities and decisions about the acquisition, operation, maintenance, upgrading and replacement of these facilities based on input from the scientific community. LAOF funding supports both the planning for scientific field programs (e.g., experimental design, operational plans, logistical support) and the deployment of NSF-sponsored facilities.
_x000D_
Proposals to the LAOF program are acceptedby invitation only. Please contact the FARE program director if you intend to submit a proposal to this program.
_x000D_
Community Instrumentation and Facilities (CIF)
_x000D_
The CIF program provides the NSF-sponsored atmospheric sciences research community with access to specialized instrumentation for field and laboratory-based studies.The program requests proposals from instrument and facility providers who will make their equipment available for community use through an NSF-defined request process.Support will be provided for limited technician time, minor upgrades, and travel for outreach.</t>
  </si>
  <si>
    <t>Earth Sciences Instrumentation and Facilities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</si>
  <si>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Consortia as follows:
_x000D_
a) legally incorporated, not-for-profit consortium that includes two or more submission-eligible organizations as described in the two bulleted items above. Such a consortium is one with an independent administrative structure (e.g., a sponsored projects office) located in the United States, its territories, or possessions and has 501(c)(3) status.
_x000D_
b) Submission-eligible organizations as described in the two bulleted items above, on behalf of an informal consortium. These consortium proposals may also include as partners, via subawards, other U.S. and non-U.S. organizations that are not otherwise eligible to submit directly to this solicitation.
_x000D_
In either case, the proposal title should indicate that a consortium is proposing.
_x000D_
While for-profit commercial organizations, especially U.S. small businesses with strong capabilities in scientific or engineering research or education, are eligible for participatory support through subawards/subcontracts as private sector partners with submitting organizations; they may not submit independent proposals. Such partnerships must be substantive and meaningful. In addition, the value added by the for-profit commercial organization should be justified as a unique contribution that is otherwise unavailable within organizations described in the two bulleted items above.</t>
  </si>
  <si>
    <t>The NSF Division of Earth Sciences (EAR) hereby solicits proposals for research infrastructure that is necessary to advance understanding of the Earth System including: the structure, properties and dynamics of the solid Earth and the interactions between the solid Earth and its biosphere, hydrosphere, cryosphere and atmosphere; the history and evolution of life; and the history and dynamics of Earth s climate.
_x000D_
The EAR Instrumentation and Facilities Program (EAR/IF) will support meritorious requests for instrument-based and human research infrastructure that will advance understanding of the Earth system, contribute toward training a diverse geoscience workforce, and encourage efforts to support belonging, accessibility, justice, equity, diversity, and inclusion (BAJEDI).
_x000D_
EAR/IF will consider proposals for:
_x000D_
1) Equipment Acquisition or Upgrade
_x000D_
2) Instrumentation and/or Technique Development
_x000D_
3) Technician Support
_x000D_
4) Community Facility Support
_x000D_
5) Continental Drilling Planning
_x000D_
EAR seeks proposals that prioritize support for the U.S. Earth science community supported by EAR core or special programs (see https://www.nsf.gov/funding/programs.jsp?org=EAR for a current list of funding programs in EAR).</t>
  </si>
  <si>
    <t>Guinea Local Health System Strengthening (GLHSS)</t>
  </si>
  <si>
    <t>USAID-GUI</t>
  </si>
  <si>
    <t>Guinea USAID-Conakry</t>
  </si>
  <si>
    <t>The U.S. Agency for International Development (USAID) Mission in Guinea is pleased to issue this APS for the implementation of an activity designed to strengthen local health systems in targeted geographic areas so that Guineans can access a higher quality of health care in their communities and local public health facilities. USAID/Guineaâ€™s health office proposes the design of a new health sector activity entitled: Guinea Local Health System Strengthening (GLHSS). Its design involved USAID/Guinea, USAID/Washington, the Ministry of Health (MOH) and stakeholders working in the health sector. This co-engagement process will continue during the five-year implementation phase and will identify health topics on which additional information is needed.This APS document outlines the goal, purpose, expected results, and priorities of the Guinea Local Health System Strengthening (GLHSS), and may result in multiple awards issued under subsequent APS Rounds. GLHSS in this document is an umbrella APS and will not solicit concept papers or applications. Prospective applicants will be provided a fair opportunity to develop and submit competitive concept papers to USAID for potential funding via Rounds under this APS.</t>
  </si>
  <si>
    <t>Pre-Solicitation Notice - Guinea Local Health System Strengthening</t>
  </si>
  <si>
    <t xml:space="preserve">The Agency for International Development (â€œUSAIDâ€) is pleased to issue a pre-solicitation notification. Please note that interested parties are not required to do anything in response to this pre-solicitation notice. USAID will only accept responses on the due date indicated on the forthcoming Notice of Funding Opportunity (â€œNOFOâ€). The NOFO will be published on the Grants.gov website, and no applications are requested at this time. Please hold all questions for information as they will not be responded to until the actual Request for Application is announced to the public in the coming weeks. This notice in no way obligates USAID to release the NOFO or make an award. Issuance of a NOFO will be subject to internal USAID approvals and the availability of funds. 
Description
USAID/Guinea   Sierra Leone anticipates awarding a five-year Cooperative Agreement for the Guinea Local Health System Strengthening (â€œGLHSSâ€) activity. The activityâ€™s goal is to contribute to sustainable improvements in the health status of Guineans. The GLHSS will contribute to achieving the following four intermediate results (IRs):
â— IR1: Provision of Quality Mother and Child Health, Family Planning/Reproductive Health and Malaria Services Assured
â— IR2: Health-Enhancing Social Norms Established
â— IR3: Democratic Norms and Processes Strengthened
â— IR4: Cross-Cutting: Use of Strategic Information for Decision-Making Increased
The Mission anticipates publishing an announcement seeking applications from eligible and qualified entities following a multi-tiered review process. Potential applicants will first submit a concept paper. After reviewing these submissions, a determination will be made on the best concept papers. Only the accepted concept papers will be invited to submit full applications, reviewed using a more specific merit review criterion. To be eligible for an award, interested parties must have complete registration and valid Dun and Bradstreet Universal Numbering System (â€œDUNSâ€) Number and System for Award Management (â€œSAMâ€) when responding to this NOFO.
</t>
  </si>
  <si>
    <t>EHR Core Research: Building Capacity in STEM Education Research (ECR: BCSER)</t>
  </si>
  <si>
    <t>Others (see text field entitled "Additional Information on Eligibility" for clarification) *Who May Serve as PI:
Co-PIs are not allowed on Individual Investigator Development proposals.</t>
  </si>
  <si>
    <t>ECR s Building Capacity in STEM Education Research (ECR: BCSER) supports projects that build investigators  capacity to carry out high-quality STEM education research that will enhance the nation s STEM education enterprise. In addition, ECR: BCSER seeks to broaden the pool of researchers who can advance knowledge regarding STEM learning and learning environments, broadening participation in STEM fields, and STEM workforce development. Researchersof races and ethnicities, genders, sexual orientations, and abilities who are currently underrepresented in their participation in STEM education research and the STEM workforce,as well as faculty at minority-serving and two-year institutions, are particularly encouraged to submit proposals.
_x000D_
Specifically, ECR: BCSER supports activities that enable researchers to expand their areas of expertise and acquire the requisite knowledge and skills to conduct rigorous research in STEM education. Career development may be accomplished through investigator-initiated professional development and research projects or through institutes that enable researchers to integrate methodological strategies with theoretical and practical issues in STEM education.</t>
  </si>
  <si>
    <t>Technology Development to Reduce Health Disparities (R01 Clinical Trial Optional)</t>
  </si>
  <si>
    <t>The purpose of this funding opportunity is to reduce health disparities through the development and translation of appropriate medical technologies. The NIH defines health disparities as differences in the incidence, prevalence, morbidity, mortality, and burden of diseases and other adverse health outcomes that exist among specific population groups. These population groups include racial and ethnic minorities (African Americans, American Indians, Alaska Natives, Asian Americans, Hispanic Americans, Native Hawaiians, and other U.S. Pacific Islanders, as well as subpopulations of all of these racial/ethnic groups), socioeconomically disadvantaged individuals, sexual and gender minorities, and medically underserved populations including individuals residing in rural and urban areas (see https://www.nimhd/nih.gov/about/overview/). This program seeks advances in medical technologies to reduce health disparities associated with diseases, illnesses, and conditions of public health importance. This announcement encourages applications to develop medical devices, imaging systems, robotic systems, biomaterial interfaces, synthetic biological systems, mathematical and modeling solutions, and other technologies to address the healthcare needs of populations that experience health disparities. Proposed medical technologies must have the following basic characteristics: effective, affordable, culturally acceptable, and easily accessible to those who need them. Responsive grant applications will involve a formal collaboration with a healthcare organization or public health agency serving one or more populations that experience health disparities.</t>
  </si>
  <si>
    <t>Stimulating Urology Interdisciplinary Team Opportunity Research (SUITOR) (R01 Clinical Trial Optional)</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</si>
  <si>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eligible to apply.  Foreign components, as defined in the NIH Grants Policy Statement, are allowed.</t>
  </si>
  <si>
    <t>The Stimulating Urology Interdisciplinary Team Opportunity Research (SUITOR) program is intended to promote innovative, high quality, interdisciplinary research relevant to the mission of the National Institute of Diabetes and Digestive and Kidney Diseases (NIDDK). The NIDDK invites investigator-initiated research project grant applications (R01s) in specific areas of basic, translational, or clinical research in specific benign urologic conditions and diseases where needs and opportunities for progress are particularly timely. As such, research topics of interest will change over time to take advantage of emerging opportunities. The research topic area previously supported by the SUITOR program, urinary incontinence, will now transition to neurourology, as described below.</t>
  </si>
  <si>
    <t>Mission Spain Public Diplomacy 2022 Annual Program Statement</t>
  </si>
  <si>
    <t>DOS-ESP</t>
  </si>
  <si>
    <t>U.S. Mission to Spain</t>
  </si>
  <si>
    <t>Others (see text field entitled "Additional Information on Eligibility" for clarification) The following entities, from Spain, Andorra, or the United States, are eligible to apply:   Not-for-Profit organizations, including educational and cultural institutions   Civil society organizations  Non-governmental organizations  Think tanks  Professional associations   Media outlets  Governmental institutions and public international organizations   Individual citizens, including alumni of U.S. Government (USG) exchange programs, who have a demonstrated capacity or proven track record to carry out the proposed activities.  To be eligible for consideration, Spanish or Andorran-based applicant organizations must be registered in their respective host country. Businesses and other for-profit organization may not apply for funding under this APS.</t>
  </si>
  <si>
    <t xml:space="preserve">
The Public Diplomacy Section (PD Spain) of the U.S. Embassy Madrid and U.S. Consulate General Barcelona welcomes proposals for creative, engaging projects that line up with PD Spainâ€™s main objectives.â€¯That includes: 
 Promote citizen participation in the fight against the climate crisis and facilitate better knowledge of the policies and actions of the United States in this area. 
 Ensure that Spanish and /or Andorran students know the United States as a destination for their training, for summer work programs and for learning English. 
 Promote security and defense alliances between the United States and Spain and the Atlantic Alliance (NATO). 
 Communicate the importance of Spain being the venue for the 2022 NATO Summit, the role that Spain plays within NATO and the strategic concept of NATO in the near future. 
 Explain the value of initiatives dedicated to women, peace and security. 
 Support the areas of entrepreneurship, innovation and STEM to increase economic opportunities for young people in Spain and / or Andorra. 
 Increase knowledge about how to do business in the US and highlight the role of Spain and Andorra in the global digital economy. 
 Expand the reach of media literacy and support the media education programs of Spanish institutions with useful and accurate tools to increase understanding of false information and other tactics, to render misinformation campaigns targeting Spain ineffective. 
 Communicate about the common values that the United States, Spain and the EU share and about the promotion of respect for human rights, democracy and the need for democratic changes in places like Venezuela, Cuba and Nicaragua, the power of the law against impunity, privacy, international order based on common rules, and a fair playing field. 
 Encourage collaboration between Spanish and /or Andorran and American organizations that share the defense of human rights. 
 Explore topics such as the rights of LGBTQI + community, racism, sexism, and the rights of people with disabilities. 
 Promote the rights and equality of women, ethnic and religious minorities, the LGBTQI + community, refugees and migrants, people with disabilities and other populations in Spain and / or Andorra. 
All programs should ensure they promote diversity and inclusion. 
Please be aware that projects funded through this APSâ€¯mustâ€¯include an American element.â€¯That could involve a connection or partnership between Spanish and/or Andorran and American organizations or institutions.â€¯For example, an American expert take part, in person or virtually, in your project.â€¯Activities might highlight or examine shared values between Spain and/or Andorra and the United States, national interests, etc.â€¯You may incorporate a U.S. approach or method you have learned about to addressing an issue or challenge facing your community, institution, or profession. 
Grant activities may take any number of forms, including academic competitions, cross-border exchanges, conferences, workshops, courses, curriculum development, exhibits, hackathons or app development, online projects, mock trials or moot court competitions, simulations and role-playing activities (e.g., Model Congress, Model United Nations), performances, or other activities. 
Project start no earlier than December 1, 2021, no later than September 30, 2022, with all activities being completed no later than December 2023. All activities and your evaluation or assessment of the project should be completed within 18 months starting the project. 
</t>
  </si>
  <si>
    <t>Office of Elementary and Secondary Education (OESE): Project to Support America s Families and Educators (Project SAFE) Grant Program Assistance Listing Number (ALN) 84.184N</t>
  </si>
  <si>
    <t>Others (see text field entitled "Additional Information on Eligibility" for clarification) 1.	Eligible Applicants:  An LEA that--_x000D_
      a.  Has adopted a policy to implement and is implementing one or more of the strategies recommended in the CDC s Guidance for COVID-19 Prevention in K-12 Schools, as may be updated._x000D_
   The most recent guidance incorporates the following strategies: (i) Promoting vaccination; (ii) Consistent and correct mask use; (iii) Physical distancing; (iv) Screening testing to promptly identify cases, clusters, and outbreaks;  (v) Ventilation; (vi) Handwashing and respiratory etiquette;(vii) Staying home when sick and getting tested; (viii) Contact tracing, in combination with isolation and quarantine; and (ix) Cleaning and disinfection._x000D_
  b.  Has incurred or will incur a financial penalty imposed by its SEA or other State entity, such as a reduction in funding, including but not limited to reduction in salaries for school board members or superintendents, due to implementation of one or more strategies described in paragraph (a); and c._x000D_
  To protect the safety and well-being of students, has continued at the time of application to implement such strategy or strategies for which the penalty was imposed and commits to maintain such strategy or strategies to the extent consistent with CDC guidance for the 2021-2022 school year.</t>
  </si>
  <si>
    <t xml:space="preserve"> 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Common Instructions for Applicants to Department of Education Discretionary Grant Programs, published in the Federal Register on February 13, 2019 (84 FR 3768), or at www.govinfo.gov/â€‹content/â€‹pkg/â€‹FR-2019-02-13/â€‹pdf/â€‹2019-02206.pdf. 
 The Project SAFE grant program is intended to improve studentsâ€™ safety and well-being by providing resources to local educational agencies (LEAs) that adopt and implement strategies to prevent the spread of the Novel Coronavirus Disease 2019 (COVID-19) consistent with guidance from the Centers for Disease Control and Prevention (CDC) and that are financially penalized for doing so by their State educational agency (SEA) or other State entity.  
 Purpose of Program: The Project SAFE grant program provides grants to eligible LEAs to improve student safety and well-being by advancing strategies consistent with CDC guidance to reduce transmission of COVID-19 in schools. 
 To submit an application, please email the completed and signed application, along with required attachments, to ProjectSAFE@ed.gov. The application template may be found at the following link: https://oese.ed.gov/offices/office-of-formula-grants/safe-supportive-schools/the-project-to-support-americas-families-and-educators-project-safe/ 
 Assistance Listing Number (ALN): 84.184N</t>
  </si>
  <si>
    <t>Human-Environment and Geographical Sciences Program - Doctoral Dissertation Research Improvement Awards</t>
  </si>
  <si>
    <t>Others (see text field entitled "Additional Information on Eligibility" for clarification) *Who May Submit Proposals: Proposals may only be submitted by the following:
  - _x000D_
 Institutions of Higher Education (IHEs) -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_x000D_
*Who May Serve as PI:
DDRI proposals must be submitted with a principal investigator (PI) and a co-principal investigator (co-PI). br / br / The PI must be the advisor of the doctoral student or another faculty member at the U.S. university where the doctoral student is enrolled. There is no limitation on the number of times that an individual may be the principal investigator on a DDRI proposal submitted to HEGS, either during a specific competition or over the course of her/his career. br / br / A doctoral student may submit a DDRI proposal to HEGS to support her/his dissertation research only twice during her/his lifetime. A student and her/his advisor therefore should carefully consider what times during the student's graduate program are most appropriate forsubmission ofa DDRI proposal.</t>
  </si>
  <si>
    <t>The objective of the Human-Environment and Geographical Sciences Program is to support basic scientific research about the nature, causes and/or consequences of the spatial distribution of human activity and/or environmental processes across a range of scales. Contemporary geographical research is an arena in which diverse research traditions and methodologies are valid. Recognizing the breadth of the field's contributions to science, the HEGS Program welcomes proposals for empirically grounded, theoretically engaged, and methodologically sophisticated, generalizable research in all sub-fields of geographical and spatial sciences.
_x000D_
Because the National Science Foundation's mandate is to support basic scientific research, the NSF Human-Environment and Geographical Sciences program does not fund research that takes as its primary goal humanistic understanding or applied research.HEGS welcomes proposals that creatively integrate scientific and critical approaches, and that engage rigorous quantitative, qualitative, or mixed methods in novel ways.However, a proposal that applies geographical/spatial methods to a social problem but does not propose how that problem provides an opportunity to make a theory-testing and/or theory expanding contributions to geographical science will be returned without review. HEGS supported projects are expected to yield results that will enhance, expand, and transform fundamental geographical theory and methods, and that will have positive broader impacts that benefit society.A proposal to the HEGS Program must also articulate how the results are generalizable beyond the case study.
_x000D_
It should be noted that HEGS is situated in the Behavioral and Cognitive Sciences Division of the Social, Behavioral and Economic Sciences Directorate at NSF. Therefore, it is critical that research projects submitted to the Human-Environment and Geographical Sciences Program illustrate how the proposed research questions engage human dimensions relevant and important to people and societies.
_x000D_
A proposal that fails to be responsive to these program expectations will be returned without review.</t>
  </si>
  <si>
    <t>APS-OAA-21-00001 Addendum USAID/Mali</t>
  </si>
  <si>
    <t>USAID-MAL</t>
  </si>
  <si>
    <t>Mali USAID -Bamako</t>
  </si>
  <si>
    <t xml:space="preserve">Through this Addendum to the Global Development Alliance (GDA) Annual Program Statement (APS) APS No: APS-OAA-21-00001 (the GDA APS), the U.S. Agency for International Developmentâ€™s Mission in Mali is making a special call for the submission of Concept Papers focused on catalyzing private sector investment for Maliâ€™s economic recovery through inclusive and sustainable development.
The specific objectives of this Addendum are to:
 Foster inclusive and sustainable agriculture-led growth 
 Catalyze agricultural investments that strengthen resilience among people and systems
 Improve productivity of agricultural market systems to promote a well-nourished population, especially among women and children
 Expand job opportunities and job skills training among priority populations in targeted geographies. (NB: this objective must be paired with at least one of the three above).
Subject to funding availability, USAID/Mali may allocate up to USD $3,000,000 to fund two or more GDAs with the private sector. Funding for individual applications is anticipated to be in the range of USD $250,000 to $1,500,000 to be provided over a period of 2-5 years, depending on the approach of each individual application. The resulting GDAs will complement the Mali Country plan under the U.S. Governmentâ€™s Global Food Security Strategy, also known as Feed The Future (FTF). If applicantâ€™s prefer to read the Mali Country Plan in French, please find it here.
Priority will be placed on supporting the most promising and effective GDAs, as described in Section III â€œEvaluation Criteriaâ€ of this Addendum. Effective GDAs are partnerships that result in the sustainable and ongoing generation of valuable and enduring results over time and well beyond the duration of the GDA. 
Unless otherwise stated herein, all terms and conditions of the GDA APS No: APS-OAA-21-00001 apply.
</t>
  </si>
  <si>
    <t>Sustainable Management of Tsavo and Amboseli Landscapes</t>
  </si>
  <si>
    <t>USAID-KEN</t>
  </si>
  <si>
    <t>Kenya USAID-Nairobi</t>
  </si>
  <si>
    <t>USAID Kenya and East Africa (USAID/KEA) is interested in scaling-up landscape-level biodiversity conservation in targeted areas which fall outside nationally protected areas. USAID intends to partner with one organization to work with communities, private sector, local government institutions, and civil society organizations in conserving biodiversity and livelihood improvement in targeted landscapes. Through a co-creation process, USAID intends to develop one award which will support one activity in the Greater Amboseli Ecosystem (GAE), and one activity for the larger Tsavo Conservation Area (TCA). USAID reserves the right to develop and issue multiple awards.</t>
  </si>
  <si>
    <t>Tribal Colleges and Universities Program</t>
  </si>
  <si>
    <t>Others (see text field entitled "Additional Information on Eligibility" for clarification) *Who May Submit Proposals: Proposals may only be submitted by the following:
  -
Organizations eligible to submit TCUP proposals are federally recognized Tribal Colleges and Universities, Alaska Native-serving institutions and Native Hawaiian-serving institutions. Multiple campuses of one university system are normally encouraged to consider collaborative submissions. Executive Order 13021 defines Tribal Colleges and Universities ( tribal colleges ) as those institutions cited in section 532 of the Equity in Educational Land-Grant Status Act of 1994 (7 U.S.C. 301 note), and other institutions that qualify for funding under the Tribally Controlled Community College Assistance Act of 1978, (25 U.S.C. 1801 et seq.), as well as Navajo Community College as authorized in the Navajo Community College Assistance Act of 1978, Public Law 95-471, Title II (25 U.S.C. 640a note). The term  Alaska Native-serving institution  means an institution of higher education that is an eligible institution under section 1058(b) of the Higher Education Act; and that, at the time of submission, has an undergraduate enrollment that is at least 20 percent Alaska Native students. The term  Native Hawaiian-serving institution  means an institution of higher education that is an eligible institution under section 1058(b) of the Higher Education Act; has a Carnegie classification of baccalaureate or associate's college; and has, at the time of submission, an undergraduate enrollment that is at least 10 percent Native Hawaiian students.  By signing and submitting the proposal, the proposer is certifying that they meet the eligibility criteria specified in this program solicitation. Willful provision of false information in this request and its supporting documents or in reports required under an ensuing award is a criminal offense (U.S. Code, Title 18, Section 1001).  Eligibility may be verified by consulting the Integrated Postsecondary Education Data System (IPEDS) or other certified federal government data sources.  Other institutions of higher education are eligible to submit collaborative proposals as non-leads with TCUP-eligible institutions under the TCUP Partnerships strands; limitations apply.
*Who May Serve as PI:
For the Instructional Capacity Excellence in TCUP Institutions (ICE-TI), TCU Enterprise Advancement (TEA) Centers, and TCUP Partnerships award strands, the principal investigator (PI) is expected to be the president, chief academic officer, another senior academic officer responsible for oversight and management of curriculum and instructional policies for the institution, or a senior STEM faculty member. Typically, the PI for Targeted STEM Infusion Projects (TSIP) or TCUP for Secondary and Elementary Teachers in STEM proposals (TSETS) would be a member of the STEM faculty, but STEM education faculty are encouraged to be part of the key leadership team.  The PI for Small Grants for Research (SGR) proposals should be the lead researcher and would typically be a member of the STEM or STEM education faculty. For Cyberinfrastructure Health, Assistance, and Improvements (CHAI), the PI should be a senior STEM faculty member, but the chief information officer (CIO) is strongly encouraged to be part of the key leadership team.  Prospective PIs are encouraged to consult TCUP program staff.</t>
  </si>
  <si>
    <t>The Tribal Colleges and Universities Program (TCUP) provides awards to federally recognized1  Tribal Colleges and Universities, Alaska Native-serving institutions, and Native Hawaiian-serving institutions to promote high quality science (including sociology, psychology, anthropology, linguistics, economics and bioeconomics, statistics, and other social and behavioral sciences; natural sciences; computer science, including, but not limited to, artificial intelligence, quantum information science, and cybersecurity), technology, engineering and mathematics (STEM), STEM education, research, and outreach. Support is available to TCUP-eligible institutions (see the Additional Eligibility subsection of Section IV of this solicitation) for transformative capacity-building or community engagement projects through Instructional Capacity Excellence in TCUP Institutions (ICE-TI), Targeted STEM Infusion Projects (TSIP),TCUP for Secondary and Elementary Teachers in STEM (TSETS), TCU Enterprise Advancement Centers (TEA Centers), Cyberinfrastructure Health, Assistance, and Improvements (CHAI), and Preparing for TCUP Implementation (Pre-TI). Collaborations led by TCUP institutions that involve non-TCUP institutions of higher education are supported through TCUP Partnerships, with the participation of other NSF programs to support the work of non-TCUP institutions.  Finally, research studies that further the scholarly activity of individual faculty members are supported through Small Grants for Research (SGR). Through the opportunities highlighted above, as well as collaborations with other National Science Foundation (NSF) divisions and directorates, and other organizations,Â TCUPÂ aims toÂ increase Native individuals' participation in STEM careers, improve the quality of STEM programs atÂ TCUP-eligible institutions, and facilitate the development of a strong STEM enterprise in TCUP institutions' service areas.
TCUP supports transformative capacity-building, community engagement, or research projects at TCUP-eligible institutions through the following funding tracks:
Instructional Capacity Excellence in TCUP Institutions (ICE-TI) projects provide support to design, implement, and assess comprehensive institutional improvements in STEM education and research capacity at TCUP-eligible institutions of higher education. By strengthening STEM education and STEM education research, successful projects will increase the number of STEM students and improve the quality of their preparation. ICE-TI projects create and/or adapt and assess innovative models and materials for teaching and learning in STEM, embody knowledge about how students learn most effectively in STEM teaching and learning activities, and bring STEM disciplinary advances into the undergraduate or graduate experience. The objective of this strand is to expand STEM degrees offered by TCUP-eligible institutions or significantly enhance instructional approaches.
Targeted STEM Infusion Projects (TSIP) support the attainment of a short-term, well-defined goal to improve the quality of STEM education at an eligible institution. Targeted STEM Infusion Projects could, for example, enhance academic infrastructure by systematically adding traditional knowledge to the scope or content of a STEM course, updating curricula, modernizing laboratory research equipment, developing and delivering professional development for K-12 STEM educators, or improving the computational infrastructure.Â The objective of this strand is to expand STEM degrees or significantly enhance instructional approaches.
TCUP for Secondary &amp; Elementary Teachers in STEM (TSETS) supports in-service professional development in STEM disciplinary or STEM education content and/or research for K-12 STEM teachers in the relevant service area. Examples of project activities include, but are not limited to, professional development involving seminar series and engagement in STEM instruction and content during the academic year, structured series of summer intensive workshops and trainings, and summer research opportunities. The objective of this strand is to broaden the instructional capacity for STEM in the K-12 workforce and thereby to the entire community, and to build the capacity for STEM disciplinary or education research among participating educational professionals.Â 
TCU Enterprise Advancement Centers (TEA Centers) coalesce the STEM and/or STEM education expertise into a team, designed to support and promote the STEM goals, needs, aspirations, or interests of the chartering reservation or tribe(s). TEA Centers may address a critical tribal or community need or focus on a realm of research or design that is beyond the scope of individual research grants or that is of interest to multiple tribes. The objective of this strand is to build on the capacity developed through prior TCUP support and apply expertise to collaborations with communities in the institutionÂ’s service area, or nationally.Â 
The Cyberinfrastructure Health, Assistance, and Improvements (CHAI) strand supports projects at TCUP-eligible institutions of higher education to upgrade the cyberinfrastructure necessary to conduct, expand, manage and administer STEM programs of study, including research. The objective of this strand is to equip TCUP institutions to meet the demands of virtual instruction, advanced computing, and data science opportunities.Â 
Preparing for TCUP Implementation (Pre-TI) provides support for activities that prepare an institution for Implementation-level projects.Â Consequently, they are available only to TCUP-eligible institutions of higher education that have never received TCUP support, have not received TCUP support within the previous five years, or are embarking on a significantly novel STEM strategic plan. Examples of supported activities include completing an institutional assessment of its current STEM instructional capacity, or engaging in conversations necessary to formulate a shared vision of what that capacity should be and how to achieve it. Pre-TI awards can support staff and faculty release time, travel, stakeholder gatherings, and associated administrative costs.Â The objective of this strand is to conduct self-studies and formulate strategic plans for the development of STEM instructional programs of study.Â 
The TCUP Partnerships strand provides support for collaborations that will improve TCUP institutions' instructional and research capacity in STEM fields supported by NSF; attract, retain, and support TCUP students in internships and research endeavors deemed to be necessary for a complete curriculum offering; and engage partner universities to provide an academic grounding and a successful transition for students who wish to study or attain degrees in STEM fields supported by NSF. TCUP Partnerships broaden the number of scientific disciplines available to students at TCUP institution through collaborations with non-TCUP institutions.Â  Active Pre-Engineering Education Collaboratives or Partnerships in Geoscience Education awards are not affected by this revision. The objective of this strand is the development, through instructional and research capacity-building, of academic and career pathways for TCUP students through supporting collaborative projects between and among TCUP and non-TCUP institutions.  Interested teams of collaborators for which a TCUP institution serves as lead should contact the TCUP program directors.  Support for non-TCUP partners must be obtained from other NSF programs, which follows the procedures of the prior Partnership strands.
Small Grants for Research (SGR) strand support STEM or STEM Education faculty members at TCUP-eligible institutions to initiate or pursue research projects or programs that may include undergraduate or graduate student engagement. Awards are intended to help further the faculty member's research capability and effectiveness; improve research and teaching at his or her home institution; create and study new models and innovations in STEM teaching and learning; and enhanceÂ the understanding of diverse groups' participation in STEM education practices and interventions. International research or collaborations are strongly encouraged. TCUP students may seek support for international research opportunities under the guidance of a TCUP STEM or STEM education faculty member and an international research collaborator. These awards are particularly appropriate as a means of recruiting and retaining highly qualified scientists, engineers, and educators at TCUP-eligible institutions. The objective of this strand is to support faculty research and professional development that build research capacity at TCUP institutions.
[1] Executive Order 13021 defines Tribal Colleges and Universities ("tribal colleges") as those institutions cited in section 532 of the Equity in Educational Land-Grant Status Act of 1994 (7 U.S.C. 301 note), and other institutions that qualify for funding under the Tribally Controlled Community College Assistance Act of 1978, (25 U.S.C. 1801 et seq.), as well as Navajo Community College as authorized in the Navajo Community College Assistance Act of 1978, Public Law 95-471, Title II (25 U.S.C. 640a note). The term "Alaska Native-serving institution" means an institution of higher education that is an eligible institution under section 1058(b) of the Higher Education Act; and that, at the time of submission, has an undergraduate enrollment that is at least 20 percent Alaska Native students. The term "Native Hawaiian-serving institution" means an institution of higher education that is an eligible institution under section 1058(b) of the Higher Education Act; and that, at the time of submission, has an undergraduate enrollment that is at least 10 percent Native Hawaiian students. Most TCUP-eligible institutions of higher education are two-year or community colleges.  See the Who May Submit Proposals section in this solicitation for further details.</t>
  </si>
  <si>
    <t>Geoscience Opportunities for Leadership in Diversity</t>
  </si>
  <si>
    <t>The World is facing  all minds needed  problems, but due to historical systemic structures, all minds have not been fully engaged. Recent research shows that science scholars who are underrepresented in STEM produce higher rates of scientific novelty, yet they do not persist in the systems where the innovation is created (Hofstra et al. 2020). Because the geosciences continue to lag other STEM fields in creating a diverse community of researchers, scholars, and practitioners, disruptive strategies and evidence-based practices are needed to recruit and specifically retain individuals who historically have not been included in geoscience education, research and careers.
The National Science Foundation s (NSF) Directorate for Geosciences (GEO) seeks to support activities that will develop unique approaches or bring to scale current efforts to increase and sustain the inclusion of individuals from diverse backgrounds in the geoscience education and research community. Proposals that will address elements in the following two areas are encouraged:
Professional Development. GEO encourages projects that will develop efforts and training that focus on the creation of BAJEDI (Belonging Accessibility Justice Equity Diversity and Inclusion) leaders through scaling of model professional development (PD) programs, identifying barriers that exist within academia and/or the geosciences that prevent the development of diversity champions, and the employment of strategies that will create and sustain cohorts of diversity leaders to maximize collective impact in the geoscience ecosystem.
Examples of focus areas for PD centered proposals could include: 1) training in BAJEDI for graduate students and postdocs who will soon be on the job market, 2) creation of curriculum and standards for safe, equitable and inclusive education and research practices, 3) development of guidance that would assist geoscience academic and research units in developing or implementing BAJEDI plans, and 4) identification and fostering of practices related to the valuation of BAJEDI leaders and their activities in institutional promotion systems.
Geoscience Capacity Building at Minority Serving Institutions (MSIs). With the recognition that Minority Serving Institutions (MSIs) operate with intentionality and holistic support of students (NASEM 2019), GEO also welcomes proposals that envision new efforts to create educational or degree granting geoscience programs at MSIs or scale existing geoscience programs into graduate programs at MSIs with the following elements in mind:
Consideration of the necessary steps to create or scale an educational or degree granting geoscience program through partnerships and collaborations, with an emphasis on collaborative infrastructure as defined under the NSF INCLUDES Program.
Development of pilot bridge programs (high school to undergraduate, undergraduate to graduate and graduate to workforce) to grow the pool of potential geoscience program majors at MSIs and prepare them to be geoscience professionals.
Identification and reduction of barriers (e.g., grants infrastructure or institutional policies) that may hinder the creation and sustainability of educational and degree granting geoscience programs at MSIs.
Creation of a coordinating unit to assist in supporting or building grants management infrastructure at MSIs.
When developing proposals, the PI team should acknowledge the need for increased engagement from social and behavioral science experts to address issues related to BAJEDI in the geosciences and include these best practices and experts in proposed projects. Proposals could also focus on the dissemination of information on lessons learned from related activities (e.g., GOLD, NSF INCLUDES National Network, etc.) to the geoscience community, and encourage new opportunities for collaboration in the community and across other NSF Broadening Participation Programs.
Review Information
Competitive funding requests will explicitly describe and demonstrate their alignment and/or connections to the mission and goals of NSF s GOLD Program. Failure to sufficiently demonstrate relevancy to these Programs will result in the funding request being declined.</t>
  </si>
  <si>
    <t>FY 2021 - 2023 Economic Development RNTA</t>
  </si>
  <si>
    <t>DOC</t>
  </si>
  <si>
    <t>Department of Commerce</t>
  </si>
  <si>
    <t>Others (see text field entitled "Additional Information on Eligibility" for clarification) Additional Information on Eligibility:	Pursuant to Section 3(4) of PWEDA (42 U.S.C.   3122(4)) and 13 C.F.R.   300.3 (Eligible Recipient), eligible applicants for and recipients of EDA RNTA investment assistance include: a District Organization; an Indian Tribe or a consortium of Indian Tribes; a State; a city or other political subdivision of a State, including a special purpose unit of a State or local government engaged in economic or infrastructure development activities, or a consortium of political subdivisions; an institution of higher education or a consortium of institutions of higher education; a public or private non-profit organization or association acting in cooperation with officials of a political subdivision of a State; private individual; or a for-profit organization.Additional Information:</t>
  </si>
  <si>
    <t>NOTICE: PLEASE READ -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Once your concept proposal has been reviewed, you will receive an invitation to apply in EDGE. More information on how to apply is provided in the full NOFO. You must submit concept proposals to rnta@eda.gov.
Program Description
EDA provides strategic investments on a competitive merit basis to support economic development, foster job creation, and attract private investment in economically distressed areas of the United States. Under this NOFO, EDA solicits applications from applicants in order to provide investments that support research and technical assistance projects under EDAâ€™s R E and NTA programs. Grants and cooperative agreements made under these programs are designed to leverage existing regional assets and support the implementation of economic development strategies that advance new ideas and creative approaches to advance economic prosperity in distressed communities.
This NOFO employs a two-step application process: (1) the Concept Proposal and (2) the Full Application. EDA will only review Full Applications submitted by applicants who first submitted a Concept Proposal. Any Full Application received from an applicant that did not submit a Concept Proposal will be deemed ineligible and not considered for funding. For the Concept Proposal, applicants may use the optional template available at https://eda.gov/programs/rnta/resources/. Full Applications must be submitted through Grants.gov using the link that EDA will provide with its response to the Concept Proposal.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t>
  </si>
  <si>
    <t>Development of Research-based Educational Outreach Materials</t>
  </si>
  <si>
    <t>VA-NCAC</t>
  </si>
  <si>
    <t>NCA Contracting</t>
  </si>
  <si>
    <t>Others (see text field entitled "Additional Information on Eligibility" for clarification) Universities, historical societies, and museums in partnership with public schools (K-12.)</t>
  </si>
  <si>
    <t>PLEASE SEE SAM.GOV FOR FULL DOCUMENTPlease search SAM.GOV using:  36C78621R0028</t>
  </si>
  <si>
    <t>Alliances for Graduate Education and the Professoriate</t>
  </si>
  <si>
    <t>The NSF's Alliances for Graduate Education and the Professoriate (AGEP) program contributes to the National Science Foundation's objective to foster the growth of a more capable and diverse research workforce.1Through this solicitation, the NSF seeks to build on prior AGEP work, and other research and literature concerning racial and ethnic equity, in order to address the AGEP program goal to increase the number of historically underrepresented minority faculty in STEM.2Furthering the AGEP goal requires advancing knowledge about new academic STEM career pathway models, and about evidence-based systemic or institutional change initiatives to promote equity and the professional advancement of the AGEP populations who are pursuing, entering and continuing in non-tenure and tenure-track STEM faculty positions. The use of the term "historically underrepresented minority" reflects language from Congress, and in the context of the AGEP program, the AGEP populations are defined as STEM doctoral candidates, postdoctoral scholars and faculty, who are African Americans, Hispanic Americans, American Indians, Alaska Natives, Native Hawaiians, and Native Pacific Islanders. The terms for these racial and ethnic populations are derived from the US government's guidance for federal statistics and administrative reporting. At the graduate student level, only doctoral candidates are included because they have greater potential to enter a faculty position within the project duration time frame.
Improving equity and inclusion is critical to advancing STEM faculty, educating America s future STEM workforce, fostering individual opportunity and contributing to a thriving U.S. economy. The NSF AGEP program, therefore, seeks to fund grants that advance and enhance the systemic factors that support equity and inclusion and, consequently, mitigate the systemic inequities in the academic profession and workplace. The AGEP program goal to increase the number of historically underrepresented minority faculty is bolstered by the National Science Board s Vision 2030: Vision for the Future.3
Systemic and organizational inequities may exist in areas such as policy and practice as well as in institutional, departmental, laboratory and classroom culture and climate. AGEP proposals may address, for example, practices in academic departments that result in the inequitable allocation of service or teaching assignments which may impede research productivity, delay career advancement, and create a culture of differential treatment and rewards. Similarly, policies and procedures that fail to mitigate implicit bias in hiring, tenure, and promotion decisions could lead to people who are members of AGEP populations being evaluated less favorably, perpetuating historical under-participation in STEM academic careers and contributing to an academic climate that is not inclusive.
All AGEP Alliances are expected to engage similar institutions of higher education (IHE) to work collaboratively and use intersectional approaches in the design, implementation, and evaluation of systemic change strategies. The collaborating IHEs must be similar to each other based on such variables as Carnegie classification, geographic location and student and/or faculty demographic characteristics.
This solicitation includes three funding tracks that all support the AGEP program goal. All tracks require collaborative IHE teams to use an intersectional lens as they address systemic and institutional change strategies at IHEs to promote equity for AGEP populations.
The AGEP Institutional Transformation Alliance (ITA) track is designed to support the development, implementation, and evaluation of innovative systemic and institutional change strategies that promote equity for AGEP populations, within similar IHEs. ITAs will create permanent policy and practice changes that advance AGEP populations, and the project work is expected to be sustained after NSF funding expires. Please note that a preliminary proposal to the ITA track is required, and that at least one of the institutions submitting must first have or have had an AGEP Catalyst Alliance. The proposing IHEs represented in the preliminary ITA proposal must be the same collaborating IHEs who will plan to submit a full ITA proposal, if invited by NSF to submit the full ITA. Please read the full solicitation for details about ITA Preliminary and Full proposal submissions that begin in FY2022.
The AGEP Faculty Career Pathways Alliance Model (FC-PAM) track is intended to support the development, implementation, evaluation, and institutionalization of Alliance models that will advance AGEP populations, within similar IHEs. The FC-PAM collaborators must also self-study into how socio-cultural, economic, structural, leadership and institutional variables affect the formation of the FC-PAM Alliance, and the strategies or interventions the collaborators implement to advance the AGEP populations.A Letter of Intent (LOI) is required ONLY for IHEs that plan to submit an FC-PAM collaborative proposal, and only one LOI is needed for the collaborating research institutions that plan to submit the FC-PAM proposal.The FC-PAM track will only be available in FY2021-FY2022 and it will be discontinued thereafter.
The AGEP Catalyst Alliance (ACA) track supports the design and implementation of one or more organizational self-assessment(s) to collect and analyze data that will identify inequities affecting the AGEP populations; pilot equity strategies as appropriate; and develop a five-year equity strategic plan for the AGEP populations. The ACA is meant as a facilitator grant to help similar IHEs generate the foundational work necessary to initiate an ITA project.
[1] Building the Future Investing in Innovation and Discovery: NSF Strategic Plan 2018-2022. Available at: https://www.nsf.gov/pubs/2018/nsf18045/nsf18045.pdf.
[2] All STEM fields that are supported by NSF are supported by the AGEP program, including the learning, social, behavioral, and economic sciences. AGEP does not support clinical science fields.
[3] National Science Board, National Science Foundation. 2020. Vision 2030: Vision for the Future. NSB-2020-15. Alexandria, VA. Available at: https://nsf.gov/nsb/publications/vision2030.pdf</t>
  </si>
  <si>
    <t>Philadelphia FY 2021   FY 2023 EDA Planning and Local Technical Assistance</t>
  </si>
  <si>
    <t>Nonprofits having a 501(c)(3) status with the IRS, other than institutions of higher education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</si>
  <si>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 xml:space="preserve">UPDATED NOTICE - PLEASE READ: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Please note that the above does not apply for Partnership Planning applications. For more information, please reach out to your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 
</t>
  </si>
  <si>
    <t>Atlanta FY 2021   FY 2023 EDA Planning and Local Technical Assistance</t>
  </si>
  <si>
    <t>State governments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</si>
  <si>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NOTICE: Application Process as of April 6th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PARTNERSHIP PLANNING program instructions: Please note that applicants will be invited to submit applications through EDGE for the Partnership Planning program. For more information, please reach out to your EDA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t>
  </si>
  <si>
    <t>Austin FY 2021   FY 2023 EDA Planning and Local Technical Assistance</t>
  </si>
  <si>
    <t>County governments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</si>
  <si>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UPDATED NOTICE - PLEASE READ: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PARTNERSHIP PLANNING program instructions: Please note that applicants will be invited to submit applications through EDGE for the Partnership Planning program. For more information, please reach out to your EDA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t>
  </si>
  <si>
    <t>Denver FY 2021   FY 2023 EDA Planning and Local Technical Assistance</t>
  </si>
  <si>
    <t>Special district governments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</si>
  <si>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 xml:space="preserve">UPDATED NOTICE - PLEASE READ: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PARTNERSHIP PLANNING program instructions: Please note that applicants will be invited to submit applications through EDGE for the Partnership Planning program. For more information, please reach out to your EDA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 
</t>
  </si>
  <si>
    <t>Seattle FY 2021   FY 2023 EDA Planning and Local Technical Assistance</t>
  </si>
  <si>
    <t>Native American tribal governments (Federally recognized)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</si>
  <si>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Chicago FY 2021   FY 2023 EDA Planning and Local Technical Assistance</t>
  </si>
  <si>
    <t>Others (see text field entitled "Additional Information on Eligibility" for clarification)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</si>
  <si>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Education Programs in Atmospheric and Geospace Sciences</t>
  </si>
  <si>
    <t>AGSEducation supports efforts to integrateatmospheric and geospaceresearch and education via two main program areas, which are:
_x000D_
1) Research Experiences for Undergraduates (REU) Site Program. This program provides funding to Universities andResearch Laboratories that allows them to offer summer internships to undergraduate students who would like to participate inatmospheric and/or geospaceresearch efforts. Proposals may be submitted annually (August deadline).
_x000D_
2)AGS Postdoctoral Fellowships:AGS awards 2-year Postdoctoral Fellowships to highly qualified investigators within 3 years of obtaining their PhD to carry out an integrated program of independent research and education. While the postdoc program is funded by core programs, the AGS Education program supports the cost of professional development for the fellows.
_x000D_
Additionally this program will support efforts related to education of undergraduate and graduate students and postdocs within the Atmospheric and Geospace communities, as well as diversity, equity, inclusion, and belonging efforts for the Atmospheric and Geospace communities.Proposals to the AGS Education program are acceptedby invitation only. Please contact theeducation program director if you intend to submit a proposal to this program.</t>
  </si>
  <si>
    <t>USAID Partnership for Higher Education Reform</t>
  </si>
  <si>
    <t xml:space="preserve">The United States Agency for International Development in Vietnam (USAID/Vietnam) is seeking applications from qualified entities to implement the "USAID Partnership for Higher Education Reform" activity. The activity aims to modernize the selected universities to support their desire to become world-class institutions. </t>
  </si>
  <si>
    <t>ANNUAL PROGRAM STATEMENT - PUBLIC AFFAIRS ITALY</t>
  </si>
  <si>
    <t>DOS-ITA</t>
  </si>
  <si>
    <t>U.S. Mission to Italy</t>
  </si>
  <si>
    <t>Others (see text field entitled "Additional Information on Eligibility" for clarification) The Public Affairs Section encourages applications from Italy and the United States:_x000D_
_x000D_
 	Registered U.S. and Italian not-for-profit organizations, including think tanks and civil society/non-governmental organizations with programming experience in Italy;_x000D_
 	U.S. or Italian individuals;_x000D_
 	U.S. and Italian non-profit or governmental educational institutions;_x000D_
 	U.S. and Italian Governmental institutions.</t>
  </si>
  <si>
    <t xml:space="preserve">The U.S. Mission to the Republic of Italyâ€™s Public Affairs Section (PAS) is pleased to announce that funding is available through its Public Diplomacy Grants Program. This is an Annual Program Statement outlining funding priorities, strategic themes, and the procedures for submitting requests for funding.
PA Italy invites proposals for programs that strengthen cultural ties between the United States and Italy through cultural and exchange programming that highlight shared values and promote bilateral cooperation. All programs must include a significant American cultural element, connection with American expert(s), organization(s), OR institution(s) in a specific field that will promote increased understanding of U.S. policy and perspectives.
Priority Program Areas:
 American and Italian voices countering malign influencers and misinformation campaigns
 Promoting strong transatlantic relations;
 Creativity and innovation in education and the arts, and problem solving of issues of mutual interest to both countries;
 American Studies, particularly American History and Literature, to include university linkages;
 Promoting diversity and inclusion;
 Empowerment and prosperity through STEM education and entrepreneurship;
 American English Language Study;
 Media Literacy.
</t>
  </si>
  <si>
    <t>USAID Reducing Pollution</t>
  </si>
  <si>
    <t xml:space="preserve">The United States Agency for International Development in Vietnam (USAID/Vietnam) is seeking applications from qualified entities to implement the "USAID Reducing Pollution" activity. The overall objective of this activity is to reduce environmental pollution in targeted areas through a collective impact approach. </t>
  </si>
  <si>
    <t>Innovation Corps Teams (I-CorpsTM* Teams)  Program</t>
  </si>
  <si>
    <t xml:space="preserve">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span style= font-size: 11pt; font-family: 'Calibri',sans-serif; line-height: 107%; mso-fareast-font-family: Calibri; mso-fareast-theme-font: minor-latin; mso-bidi-font-family: 'Times New Roman'; mso-ansi-language: EN-US; mso-fareast-language: EN-US; mso-bidi-language: AR-SA; mso-ascii-theme-font: minor-latin; mso-hansi-theme-font: minor-latin; mso-bidi-theme-font: minor-bidi; Multiple awards based on the same core technology generally will not be supported. </t>
  </si>
  <si>
    <t>The National Science Foundation (NSF) seeks to further develop and nurture a national innovation ecosystem that guides the output of scientific discoveries closer to the development of technologies, products, and services that benefit society. The goals of the NSF Innovation Corps (I-Corps) Program, created in 2011 by NSF,are tospur translation of fundamental research to the marketplace, to encourage collaboration between academia and industry, and to train NSF-funded faculty, students and other researchers in innovation and entrepreneurship skills.
_x000D_
The I-Corps Program utilizes experiential learning of customer and industry discovery, coupled with first-hand investigation of industrial processes, to quickly assess the translational potential of inventions. The I-Corps Program is designed to support the commercialization of "deep technologies,  those revolving around fundamental discoveries in science and engineering. The I-Corps Program addresses the skill and knowledge gaps associated with the transformation of basic research into deep technology ventures (DTVs).
_x000D_
The purpose of the I-Corps Teams program is to identify NSF-funded researchers to receive additional support in the form of entrepreneurial education, mentoring, and funding to accelerate the translation of knowledge derived from fundamental research into emerging products and services that may attract subsequent third-party funding. The outcomes of I-Corps Teams' projects are threefold: 1) a decision on a clear path forward based on an assessment of the business model, 2) substantial first-hand evidence for or against product-market fit, with the identification of customer segments and corresponding value propositions, and 3) a narrative of a technology demonstrationfor potential partners.
_x000D_
WEBINAR:
_x000D_
A webinar will be held monthly to answer questions about this program. Details will be posted on the I-Corps Teams website (seehttps://www.nsf.gov/news/special_reports/i-corps/program.jsp) as they become available.</t>
  </si>
  <si>
    <t>USAID Counter Wildlife Trafficking</t>
  </si>
  <si>
    <t>Amendment No. 01 
Issuance Date: January 15, 2021
Subject: Notice of Funding Opportunity (NOFO) No. 72044021RFA0001
Activity Title:  USAID Counter Wildlife Trafficking
The purpose of Amendment No. 01 to the NOFO No. 72044021RFA0001 is to provide responses to the questions received during the questions-answers period, as specified in Attachment 1 of this Amendment.
All information in the original NOFO remains unchanged and in full effect.
Thank you for your interest in USAID programs.
Sincerely,
s/
Bruce Gelband
Agreement Officer</t>
  </si>
  <si>
    <t>NIST MEP Competitive Awards Program</t>
  </si>
  <si>
    <t>Others (see text field entitled "Additional Information on Eligibility" for clarification) Applicants for this program must be an active MEP Center that is operating pursuant to a current NIST MEP cooperative agreement.  A MEP Center may work individually or may include proposed subawards to other organizations, including but not limited to other MEP Centers, to carry out the activities described in the proposal.  An MEP Center may serve as the MEP Center applicant on only one (1) proposal.  There are no restrictions on the number of applications in which MEP Centers may be proposed as subrecipients or as non-funded collaborators.</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</si>
  <si>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applicantâ€™s and its partnering MEP Centersâ€™ base MEP Center cooperative agreements. See Section I of this NOFO for the full program description.</t>
  </si>
  <si>
    <t xml:space="preserve">USAID/ Vietnam intends to issue a Cooperative Agreement for USAID/ Vietnam's Reducing Pollution activity. The anticipated period of performance of this activity is five years.Attached is the draft Program Description (PD) of the activity. We invite your comments/feedback to this draft PD. Any responses should be submitted to Ms. Huyen Dang at not later than 9:00 Hanoi time, December 29, 2020 and all responses will be considered prior to finalizing the PD.Please be advised that this is not a Request for Applications (RFA) and does not constitute a commitment on the part of the US. Government to make an award. We anticipate releasing the Request for Applications (RFA) at the end of December, 2020 with a closing date for receipt of applications in mid-February of 2021. We look forward to receiving your comments/feedback. Thank you very much for your time and interest in the activity. </t>
  </si>
  <si>
    <t xml:space="preserve">USAID/ Vietnam intends to issue a Cooperative Agreement for USAID/ Vietnam's Partnership for Higher Education Reform activity. The anticipated period of performance of this activity is five years.Attached is the draft Program Description (PD) of the activity. We invite your comments/feedback to this draft PD. Any responses should be submitted to Ms. Huyen Dang at not later than 9:00 Hanoi time, December 21, 2020 and all responses will be considered prior to finalizing the PD.Please be advised that this is not a Request for Applications (RFA) and does not constitute a commitment on the part of the US. Government to make an award. We anticipate releasing the Request for Applications (RFA) at the end of December, 2020 with a closing date for receipt of applications in mid-February of 2021. We look forward to receiving your comments/feedback. Thank you very much for your time and interest in the activity. </t>
  </si>
  <si>
    <t>Long Term Research in Environmental Biology</t>
  </si>
  <si>
    <t>The Long Term Research in Environmental Biology (LTREB) Program supports the generation of extended time series of data to address important questions in evolutionary biology, ecology, and ecosystem science. Research areas include, but are not limited to, the effects of natural selection or other evolutionary processes on populations, communities, or ecosystems; the effects of interspecific interactions that vary over time and space; population or community dynamics for organisms that have extended life spans and long turnover times; feedbacks between ecological and evolutionary processes; pools of materials such as nutrients in soils that turn over at intermediate to longer time scales; and external forcing functions such as climatic cycles that operate over long return intervals.
_x000D_
All proposals submitted through the LTREB solicitation are processed by 1 of the 3 clusters in the Division of Environmental Biology: Ecosystem Science, Population and Community Ecology, and Evolutionary Processes. Proposals must address topics supported by these clusters. Researchers who are uncertain about the suitability of their project for the LTREB Program are encouraged to contact the cognizant Program Officer.
_x000D_
Ecological research on marine populations, communities and ecosystems is not supported by LTREB and should be directed to the Biological Oceanography Program: (https://www.nsf.gov/funding/pgm_summ.jsp?pims_id=11696 org=OCE). However, research that examines the evolutionary dynamics of marine populations or communities will be accepted. Investigators who are uncertain about the suitability of their research for LTREB are strongly encouraged to contact the managing Program Officers listed in this solicitation.
_x000D_
Examples of current LTREB awards can be viewed at https://www.nsf.gov/awardsearch/ by including 'LTREB' in a title search.
_x000D_
The Program intends to support decadal projects. Funding for an initial, 5-year period requires submission of a proposal that includes a 15-page project description containingtwo essential components: a decadal research plan and a description of core data. Proposals for the second five years of support (renewal proposals) are limited to a ten-page project description.
_x000D_
Continuation of an LTREB project beyond an initial ten-year award will require submission of a new proposal that presents a new decadal research plan.
_x000D_
Specific review criteria for LTREB proposals and renewals are explained within this solicitation. Prospective proposers are advised to read this solicitation carefully.</t>
  </si>
  <si>
    <t>Conferences and Workshops in the Mathematical Sciences</t>
  </si>
  <si>
    <t>Conferences, workshops,and related events (including seasonal schools andinternational travel by groups) support research and training activities of the mathematical sciences community. Proposals for conferences, workshops, or conference-like activities may request funding of any amount and for durations of up to three years. Proposals under this solicitation must select "Conference" as the proposal type, and they must besubmitted to the appropriate DMS programs in accordance with the lead-time requirements, submission windows, or deadlines specified on the program web page. See the DMS Programs page and click on the appropriate program for program-specific information.</t>
  </si>
  <si>
    <t>Research Interests of the United States Air Force Academy (formerly USAFA-BAA-2021)</t>
  </si>
  <si>
    <t>DOD-USAFA</t>
  </si>
  <si>
    <t>Air Force Academy</t>
  </si>
  <si>
    <t>Unrestricted (i.e., open to any type of entity above), subject to any clarification in text field entitled "Additional Information on Eligibility" White papers and proposals from Federal Agencies, including subcontracting/sub-Non-Federal Entity (NFE) efforts will not be evaluated under this BAA. Federal agencies should contact the Department of Research associated with the given technical area listed in Section I of the BAA to discuss funding through internal Government procedures.</t>
  </si>
  <si>
    <t>The USAFA invests in an active research program for three main reasons. First and foremost, research significantly enhances the cadet learning experience. Our research is done by, for and with cadets who work alongside fellow cadets and faculty mentors. Research provides cadets with rich independent learning opportunities as they tackle ill-defined problems and are challenged to apply their knowledge and abilities.Second, our research program provides opportunities essential for faculty development. Research broadens and deepens the experience base of the faculty. This infuses current, relevant, state-of-the-art and cutting-edge applications and examples into the curriculum. This also helps our faculty remain current in their respective fields.Third, at USAFA we strive to conduct research to enhance the ability of the Air Force to perform its mission. There are ongoing research projects spanning topics as diverse as super hypersonics, cyber security, spatial disorientation, athletic performance and homeland defense. This BAA offers a vehicle for research to be performed to satisfy these three objectives, while also meeting research needs of industry counterparts/serve a public purpose. USAFAâ€™s partnerships with non-Government firms enables development in the public arena, stimulating the studies in the greater technical community. All awards issued against this BAA must serve to benefit the objectives identified above.</t>
  </si>
  <si>
    <t>Combating Illegal Wildlife Trafficking</t>
  </si>
  <si>
    <t xml:space="preserve">USAID Vietnam intends to issue a Cooperative Agreement for USAID/ Vietnam's Combating Illegal Wildlife Trafficking activity. The anticipated dollar range for the five-year activity is between $14 and $16 million.
Attached is the draft Program Description (PD) of the activity. We invite your comments/feedback to this draft PD. Any responses should be submitted to Ms. Huyen Dang at not later than 9:00 Hanoi time, November 23, 2020 and all responses will be considered prior to finalizing the PD.
Please be advised that this is not a Request for Applications (RFA) and does not constitute a commitment on the part of the US. Government to make an award. We anticipate releasing the Request for Applications (RFA) at the end of November, 2020 with a closing date for receipt of applications in mid-January of 2021. 
We look forward to receiving your comments/feedback. Thank you very much for your time and interest in the activity. </t>
  </si>
  <si>
    <t>Transitions to Excellence in Molecular and Cellular Biosciences Research</t>
  </si>
  <si>
    <t>The Division of Molecular and Cellular Biosciences (MCB) has developed a new opportunity to enable researchers with a strong track record of prior accomplishment to pursue a new avenue of research or inquiry. This funding mechanism is designed to facilitate and promote a PI s ability to effectively adopt empowering technologies that might not be readily accessible in the PI s current research environment or collaboration network.Transformative research likely spans disciplines and minimizing the practical barriers to doing so will strengthen research programs poised to make significant contributions.The award is intended to allow mid-career or later-stage researchers (Associate or Full Professor, or equivalent) to expand or make a transition in their research programs via a sabbatical leave or similar mechanism of professional development and then develop that research program in their own lab. This award will also enable the PI to acquire new scientific or technical expertise, facilitate the investigator s competitiveness, and potentially lead to transformational impacts in molecular and cellular bioscience. The award would fund up to six months of PI salary during the first sabbatical or professional development year, followed by support for continued research for two subsequent years upon the PI s return to normal academic duties. Requests for flexibility in the timing of the sabbatical or professional development year will be considered with appropriate justification. Please contact the cognizant program director for the solicitation. Through this solicitation MCB and NSF hope to develop a novel mechanism that will encourage investigators to expand and/or transition to new research areas aligned with MCB priorities, to increase retention of investigators in science, and to ensure a diverse scientific workforce that remains engaged in active research.
_x000D_
Highest funding priority is given to proposals that have outstanding intellectual merit and broader impacts, while proposals with weaknesses in either category (or those that are perceived as likely to have an incremental impact) will not be competitive.Proposals should also demonstrate a strong record of prior accomplishment, a compelling plan for professional development that will enable the PI to forge a new direction in their scholarship, and a strong rationale for why this support is needed for the PI to become competitive in the new research area. Support for the proposed transition from the PI s department, described in a letter from the department chair or equivalent, will also be required. Proposals that do not describe a plan for a transition in research direction will be considered unresponsive. Proposals that are motivated to understand the molecular and cellular basis of disease and disease treatments are not appropriate for the Division and will be returned without review.
_x000D_
Proposals addressing major open questions at the intersections of biology with other disciplines, such as physics, chemistry, mathematics, computer sciences, and engineering are of particular interest to the program.</t>
  </si>
  <si>
    <t>Sustaining Infrastructure for Biological Research</t>
  </si>
  <si>
    <t>The Sustaining Infrastructure for Biological Research (Sustaining) Program supports the continued operation of existing research infrastructure that advances contemporary biology in any research area supported by the Directorate for Biological Sciences (BIO)at NSF. The Sustaining Program focuses primarily on sustaining critical research infrastructure that is cyberinfrastructure or biological living stocks and that is broadly applicable to a wide range of researchers. Projects are expected to ensure continued availability of existing, mature resources that will enable important science outcomes achieved by users representing a broad range of research supported by BIO and its collaborating organizations.</t>
  </si>
  <si>
    <t>Arctic Doctoral Dissertation Research Improvement Grants (Arctic DDRIG)  Arctic Social Sciences, Arctic System Sciences, and Arctic Observing Network</t>
  </si>
  <si>
    <t>Others (see text field entitled "Additional Information on Eligibility" for clarification) *Who May Submit Proposals: Proposals may only be submitted by the following: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proposal must be submitted through regular organizational channels by the dissertation advisor(s) on behalf of the graduate student. The advisor is the Principal Investigator (PI); the student is the Co-Principal Investigator (Co-PI).  The student must be the primary author of the proposal with mentorship from the advisor (PI).  The student must be enrolled at a U.S. institution of higher education.</t>
  </si>
  <si>
    <t>The National Science Foundation (NSF) invites investigators at U.S. organizations to submit proposals for Doctoral Dissertation Research Improvement Grants (DDRIGs) to the Arctic Sciences Section, Office of Polar Programs (OPP) to conduct dissertation-level research about and related to the Arctic region. The Programs that are currently accepting DDRIG proposals are the Arctic Social Sciences (ASSP), Arctic System Science (ARCSS), and Arctic Observing Network (AON) Programs.
The goal of this solicitation is to attract research proposals that advance a fundamental, process, and systems-level understanding of the Arctic's rapidly changing natural environment and social and cultural systems, and, where appropriate, to improve our capacity to project future change. The Arctic Sciences Section supports research focused on the Arctic region and its connectivity with lower latitudes. The scientific scope is aligned with, but not limited to, research challenges outlined in the Interagency Arctic Research Policy Committee s five-year Arctic research plan (https://www.nsf.gov/geo/opp/arctic/iarpc/start.jsp). Given that this solicitation is designed to support early career scientists, this Program will also advance research capacity in Arctic sciences, promote workforce development, and enhance diversity and inclusion in Science, Technology, Engineering, and Math (STEM).
The Arctic Sciences Section coordinates with programs across NSF and with other federal and international partners to co-review and co-fund Arctic proposals as appropriate. The Arctic Sciences Section also maintains Arctic logistical infrastructure and field support capabilities that are available to enable research.</t>
  </si>
  <si>
    <t>Re-entry to Active Research Program</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</si>
  <si>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Investigators must contact a RARE program director in CBET or CHEto confirm eligibility prior to submission, depending upon which division the PI will apply to. The investigator will receive an e-mail confirmation of eligibility, which must be uploaded as a Single Copy document with the proposal submission.
_x000D_
The investigator must hold a PhD in engineering, chemistryor a closely related discipline, with prior research experiences in an area within the scope of the Division of Chemical, Bioengineering, Environmental, and Transport Systems or Division of Chemistry.
_x000D_
Application to the RARE program is not limited by demographics. Tenured or tenure-track faculty may apply. Adjunct, affiliated, research, or teaching faculty may apply if they are employed either full or part-time by an institution of higher education (IHE), provided they have a plan to seek future employment on the tenure-track. Other qualified individuals who lackIHE affiliation may apply, provided they have identified a senior research mentor at an IHE; in this select case, the mentor may serve as PI(see  Additional Eligibility  information below).
_x000D_
Investigators that have previously received a Track 1 RARE award are ineligible for a second award of either track. Investigators that have previously received a Track 2 award are ineligible for a second Track 2 award.Investigators that have previously received a Track 2 RARE award are eligible for a Track 1 award, if the Track 1 topic is related to the prior Track 2 award. PIs that are eligible for a CAREER submission are ineligible for a RARE submission. Proposals from investigatorswho have had no change in career status for an extended period of time are encouraged.
_x000D_
The RARE investigator must demonstrate a substantial decrease in research metrics that result from the research hiatus to receive a confirmation of eligibility.The metrics must be communicated to a RARE program director to receive an e-mail confirmation of eligibility. Also, full documentation of these metrics should be included in a full curriculum vitae that is uploaded as a Single Copy document with the proposal. Applicable research metrics include: (1) research publication activity; (2) external research support as PI or co-PI, at a funding level that is consistent with a typical CBET or CHEindividual investigator award; (3) resources with which to collect preliminary data. A Track 1 investigator must demonstrate a decrease in one or more metrics. A Track 2 investigator must demonstrate a lack of activity in all three metrics in the new area of interest (publications and funding in other areas are allowed). Examples of acceptable documentation of these metrics include: a full curriculum vitae with all publications and funding activity, a budget balance sheet showing funds from current awards are fully committed, a lack of support for research staff, reviews from a proposal saying preliminary data is needed, declined seed grant proposal from home institution, a lack of access to a necessary collaborator. Other metrics and means for documentation of the metric may be considered, after consultation with a RARE program director. The curriculum vitae should be formatted such that a decline in the r</t>
  </si>
  <si>
    <t>The Division of Chemical, Bioengineering, Environmental, and Transport Systems (CBET) and the Division of Chemistry (CHE) are conducting a Re-entry to Active Research (RARE) program to reengage, retrain, and broaden participation within the academic workforce. The primary objective of the RARE program is to catalyze the advancement along the academic tenure-track of highly meritorious individuals who are returning from a hiatus from active research. By providing re-entry points to active academic research, the RARE program will reinvest in the nation s most highly trained scientists and engineers, while broadening participation and increasing diversity of experience. A RARE research proposal must describe potentially transformative research that falls within the scope of participating CBET or CHEprograms.
_x000D_
The RARE program includes two Tracks to catalyze the advancement of investigators along the academic tenure system after a research hiatus, either to a tenure-track position or to a higher-tenured academic rank. Track 1 of the RARE program reengages investigators in a competitive funding opportunity with accommodations for gap in record that are a result of the research hiatus. A Track 1 proposal will follow the budgetary guidelines of the relevant CBET program for an unsolicited research proposal or the relevant CHE Disciplinary Research program. Track 2 retrains investigators for whom the research hiatus has led to the need for new or updated techniques, such that retraining is required to return the investigator to competitive research activity. A description of how these new techniques will lead to competitive research in CBET or CHE programs is required. A Track 2 proposal budget will include only funds necessary for specific retraining activities, such as travel to a workshop or conference, workshop registration fees, a retraining sabbatical, or seed funding to support collection of preliminary data (including salary support, equipment usage fees, materials, and/or supplies).
_x000D_
General inquiries regarding this program should be made to:
_x000D_
RAREquestions@NSF.GOV or a RARE Program Officer listed below.</t>
  </si>
  <si>
    <t>US Army Combat Capabilities Development Command Broad Agency Announcement</t>
  </si>
  <si>
    <t>DOD-AMC-ACCAPGN</t>
  </si>
  <si>
    <t>ACC APG - Natick</t>
  </si>
  <si>
    <t>Unrestricted (i.e., open to any type of entity above), subject to any clarification in text field entitled "Additional Information on Eligibility" See BAA Solicitation for Eligibility Criteria</t>
  </si>
  <si>
    <t>Broad Agency Announcement Solicitation for the US Army Combat Capabilities Development Command - Soldier Center (CCDC-SC). Please see the BAA solicitation document for the submission instructions and areas of interest. This posting is not for a specific requirement - only to post the BAA solicitation so that interested parties can submit white papers and proposals for grants and other assistance agreements.</t>
  </si>
  <si>
    <t>Airman Readiness Medical Research (ARMR) Hybrid BAA</t>
  </si>
  <si>
    <t>DOD-AFRL</t>
  </si>
  <si>
    <t>Air Force -- Research Lab</t>
  </si>
  <si>
    <t>The Warfighter Medical Optimization Division (RHM) intends to solicit White Papers under this announcement with the focus of conducting medical research in support of optimizing of the warfighter by enabling, enhancing, restoring, and sustaining the Airman to more effectively execute the Air Force mission. This medical research objective is dual natured: (1) ensure medical availability of Airmen by analyzing attributes (sensory, behavioral, physiologic) and operational environments (chemical, physical, psychological, biological, radiological stressors) to drive optimal performance of Airmen engaged in high-demand, high-impact mission tasks (2) investigate how the flight environment affects the process of life, the ability to maintain homeostasis, and the risk for injury or secondary insult, seeking to ameliorate these stressors to optimize Airman health and performance.</t>
  </si>
  <si>
    <t>Plant Biotic Interactions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</si>
  <si>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USDA/NIFA Eligible applicants include: (1) State agricultural experiment stations; (2) colleges and universities (including community colleges offering associate degrees or higher); (3) university research foundations; (4) other research institutions and organizations; (5) Federal agencies, (6) national laboratories; (7) private organizations or corporations; (8) individuals who are U.S. citizens, nationals, or permanent residents; and (9) any group consisting of 2 or more entities identified in (1) through (8). Eligible institutions do not include foreign and international organizations.</t>
  </si>
  <si>
    <t>The Plant Biotic Interactions (PBI) program supports research on the processes that mediate beneficial and antagonistic interactions between plants and their viral, bacterial, oomycete, fungal, plant, and invertebrate symbionts, pathogens and pests. This joint NSF/NIFA program supports projects focused on current and emerging model and non-model systems, and agriculturally relevant plants. The program s scope extends from fundamental mechanisms to translational efforts, with the latter seeking to put into agricultural practice insights gained from basic research on the mechanisms that govern plant biotic interactions. Projects must be strongly justified in terms of fundamental biological processes and/or relevance to agriculture and may be purely fundamental or applied or include aspects of both perspectives. All types of symbiosis are appropriate, including commensalism, mutualism, parasitism, and host-pathogen interactions. Research may focus on the biology of the plant host, its pathogens, pests or symbionts, interactions among these, or on the function of plant-associated microbiomes. The program welcomes proposals on the dynamics of initiation, transmission, maintenance and outcome of these complex associations, includingstudies of metabolic interactions, immune recognition and signaling, host-symbiont regulation, reciprocal responses among interacting species and mechanisms associated with self/non-self recognition such as those in pollen-pistil interactions. Explanatory frameworks shouldinclude molecular, genomic, metabolic, cellular, network and organismal processes, with projects guided by hypothesis and/or discovery driven experimental approaches. Strictly ecological projects that do not address underlying mechanisms are not appropriate for this program. Quantitative modeling in concert with experimental work is encouraged. Overall, the program seeks to support research that will deepen our understanding of the fundamental processes that mediate interactions between plants and the organisms with which they intimately associate and advance the application of that knowledge to benefit agriculture.</t>
  </si>
  <si>
    <t>Local Capacity Strengthening for Response (LCS4R)</t>
  </si>
  <si>
    <t>Unrestricted (i.e., open to any type of entity above), subject to any clarification in text field entitled "Additional Information on Eligibility" See NOFO Section III for applicant eligibility details</t>
  </si>
  <si>
    <t>Under this Request for Applications (RFA), the United States Agency for Development (USAID), Office of Foreign Disaster Assistance, will consider applications to support organizational capacity development of local and national NGOs. Applicant eligibility information for this RFA is described in Section III of the Notice of Funding Opportunity (NOFO). Subject to the availability of funds, USAID intends to award up to three cooperative agreements to responsible applicants whose application best meets the objectives of this NOFO and the selection criteria contained herein. USAID reserves the right to fund one or more or none of the applications submitted.</t>
  </si>
  <si>
    <t>Low-Cost Chip-Scale Atomic Clock (LC CSAC)</t>
  </si>
  <si>
    <t>Others (see text field entitled "Additional Information on Eligibility" for clarification) This special notice seeks proposals from one or more for-profit firms in accordance with 32 CFR 37.210.  A consortium, led by a for-profit firm, is also encouraged.</t>
  </si>
  <si>
    <t>**PLEASE REVIEW FULL SPECIAL NOTICE**
Funding Opportunity Title: Low-Cost Chip-Scale Atomic Clock (LC CSAC)
Funding Instrument Type: Technology investment agreement
The aim of this Special Notice under the ARL BAA (W911NF-17-S-0003), under Grants.gov Opportunity W911NF-17-S-0003-SPECIALNOTICE-LC-CSAC, is to fund a team or multiple teams to design, manufacture, and deliver a battery-powered atomic clock that achieves identical (or better) size, weight, and power (SWaP) and performance to the commercially available chip-scale atomic clock (CSAC) with a selling price goal of   $300/unit in high volume.
Precise timing is critical for numerous Army applications such as navigation, communications, surveillance, and synchronization of sensors and systems. Assured PNT solutions currently rely on acquiring GPS signals, which may not be readily available in increasingly contested environments. Commercially available silicon MEMS and quartz oscillators (TCXO, OCXO) are unable to provide GPS holdover in the event of a GPS outage, except for high-end OCXOs that may be considered large and power hungry for certain applications. To ease reliance on GPS, long-holdover clocks with SWaP-C appropriate for various DoD platforms are necessary to enable mission-critical functions even in contested environments. Current high-performance atomic clocks (maser, laser-cooled cesium fountain) serve as standards and are large, expensive, and require regular monitoring and exquisite environmental control.
Since the early 2000s, the chip-scale atomic clock (CSAC) has been developed and successfully matured into a commercial product with DARPA and industry investment. While an Army/Air Force/OSD Manufacturing Technology effort further reduced the manufacturing cost1, the current selling price is still prohibitive for high-volume, low-SWaP DoD platforms. There is an opportunity to leverage the many advances in MEMS, photonics, and atomic physics over the past two decades to develop state-of-the-art, high-performance, battery-powered atomic clocks with improved manufacturability, significantly reduced cost, and improved performance.
This special notice seeks proposals from one or more for-profit firms in accordance with 32 CFR 37.210. A consortium, led by a for-profit firm, is also encouraged.
Points of Contact:
Jonathan Hoffman
jonathan.e.hoffman.civ@mail.mil
Jenna Chan
Jenna.f.chan.ctr@mail.mil</t>
  </si>
  <si>
    <t>Small Grants Program</t>
  </si>
  <si>
    <t>Others (see text field entitled "Additional Information on Eligibility" for clarification) The U.S. Mission Geneva welcomes applications from both individuals and organizations based in Geneva or abroad. Registered not-for-profit organizations, including think tanks and civil society/non-governmental organizations, individuals, non-profit or educational institutions, and governmental institutions are eligible to apply. For-profit or commercial entities are not eligible to apply.Eligible proposals will be subject to compliance of U.S. Federal and Public Diplomacy regulations and guidelines, and may also be reviewed by the Office of the Legal Adviser or by other State Department elements. Proposals will be funded based on an evaluation of how the proposal meets the solicitation review criteria, U.S. foreign policy objectives, and Mission priorities.2. Cost Sharing or MatchingCost-sharing is not mandatory for projects, but highly encouraged.</t>
  </si>
  <si>
    <t>The United States Mission to the United Nations and Other International Organizations in Geneva advances U.S. policy at more than 100 international organizations in Geneva. The U.S. Mission engages daily on issues as diverse as humanitarian assistance, global health, international trade, peace and security, arms control, and human rights.The Program:The United States Mission in Geneva is accepting project proposals for its fiscal year 2020 Small Grants Program. The Small Grants Program permits individuals, non-government organizations, think tanks, and government and academic institutions to seek funding for projects that promote U.S. policy priorities in the multilateral sphere. All programs must include a U.S. element or connection. Awards will be made to successful applicants subject to the availability of appropriated funds.Programs can include, but are not limited to, academic and professional lectures or panel discussion; exhibitions and cultural programs; professional and academic exchanges; professional development workshops and training; or public awareness campaigns.Priority Program Areas:Though all submitted projects will be considered for funding, we are currently giving priority to projects that highlight:Human rights, including protection of human rights defendersFreedom of religion or beliefPromoting peace and securityPublic-private partnershipsPreserving core UN valuesPromoting transparency, accountability, and efficiency in the UN systemFurther details about the program and how to apply at the following link: https://geneva.usmission.gov/annual-program-statement/</t>
  </si>
  <si>
    <t>Higher Education for Leadership, Innovation, and Exchange (HELIX), A New Partnerships Initiative (NPI)</t>
  </si>
  <si>
    <t xml:space="preserve">USAID DDI Bureau Center for Education in partnership with Mission(s), Bureaus, and Independent Offices (M/B/IOs) from across the Agency, through this Higher Education for Leadership, Innovation, and Exchange (HELIX) Annual Program Statement (APS) aims to improve partner country higher education individual, institutional, and organizational capacity for change by supporting opportunities for partnerships, scholarships, exchanges, fellowships, internships, apprenticeships, work-based learning, research, communities of practice, and other relevant forms of capacity development and change management. The aim of this APS is to support solutions that will create meaningful change at the individual, institutional, and/or system level, with, in connection to, or through higher education, as a country moves forward in its Journey to Self-Reliance. This is planned to be achieved under the umbrella of the New Partnerships Initiative (NPI).  
The Higher Education for Leadership, Innovation, and Exchange (HELIX) APS is not a Request for Applications (RFA). Rather, the HELIX APS requests Concept Note(s) in response to addenda published under this APS. Based on the submitted Concept Note(s) in response to active addenda under this APS, USAID will determine whether to request a Full Application from an eligible organization. Concept Note(s) and/or Full Application to the APS will not be accepted.  
USAIDâ€™s DDI Bureau Center for Education and supporting Bureaus anticipate awarding multiple grants and/or cooperative agreements as there is no predefined minimum or maximum number of awards. The following addenda/addendum are currently open under HELIX:  
Please search for a current HELIX Addendum opportunity for Higher Education Partnership for Disaster Resilient Infrastructure (HEP-DRI)- 72038623RFA00006 closing October 20, 2023. </t>
  </si>
  <si>
    <t>UNITED STATES MILITARY ACADEMY Broad Agency Announcement</t>
  </si>
  <si>
    <t>Others (see text field entitled "Additional Information on Eligibility" for clarification) Eligible applicants under this BAA include institutions of higher education, nonprofit organizations, state and local governments, foreign organizations, foreign public entities, and for-profit organizations (i.e. large and small businesses) for scientific, technology, engineering, mathematics, education, policy development, ethics, culture, history, and economic analyses projects and proposals. Whitepapers and proposals will be evaluated only if they are for novel study and experimentation directed toward advancing the state of the art or increasing basic knowledge and understanding. Whitepapers and proposals focused on specific devices or components are beyond the scope of this BAA.For foreign public entities or foreign organizations, see Section II.C.3.a below for further information. There is no restriction on the place of performance for awards issued under this BAA.</t>
  </si>
  <si>
    <t>The U.S. Military Academy at West Point's mission is "to educate, train, and inspire the Corps of Cadets so that each graduate is a commissioned leader of character committed to the values of Duty, Honor, Country and prepared for a career of professional excellence and service to the Nation as an officer in the United States Army." The United States Military Academy is located at West Point, New York. USMA executes research to enhance the education of cadets, develop the faculty professionally, and address important issues facing the Army and the Nation. In addition, the Academy conducts research and analysis in emerging fields that may realize novel or vastly improved Army capabilities. At West Point, research is organized and administered through centers and institutes, most of which reside within academic departments. These centers and institutes, affiliated with each other through the Academy Research Council (ARC), coordinated and supported by the Academic Research Division (ARD), provide the infrastructure necessary to tackle the nationâ€™s and the worldâ€™s most challenging problems. Our research centers and institutes bring context to the classroom, are central to our vibrant and pioneering faculty, and are one way West Point connects to the Army and to the Nation. Our students are driven, our faculty is world-class, and through our centers, scholars and scientists thrive and produce their best work. Cadets regularly win Best Paper Awards at national and international graduate-level conferences, our faculty hold fellowships and chairmanships in their discipline's national organizations and our products are deployed to the soldier. In addition to applied research, there are centers and institutes at West Point that focus on other aspects of the USMA mission.The USMA BAA identifies topics of interest to the USMA departments, directorates, and research centers and institutes. These groups focus on executing in-house research programs, with a significant emphasis on collaborative research with other organizations. The groups fund a modest amount of extramural research in certain specific areas, and those areas are described in this BAA.The USMA BAA seeks proposals from institutions of higher education, nonprofit organizations, state and local governments, foreign organizations, foreign public entities, and for-profit organizations (i.e., large and small businesses) for research based on the following campaigns: Socio-Cultural; Information Technology; Ballistics, Weapons, and Protections; Energy and Sustainability; Materials, Measurements, and Facilities; Unmanned Systems and Space; Human Support Systems; and Artificial Intelligence, Machine Learning, and Quantum Technologies.Proposals are sought for cutting-edge innovative research that could produce discoveries with a significant impact to enable new and improved Army technologies and related operational capabilities and related technologies. The specific research areas and topics of interest described in this document should be viewed as suggestive, rather than limiting.</t>
  </si>
  <si>
    <t>U.S. Embassy Praia Ambassador s Special Self-Help (SSH) Program</t>
  </si>
  <si>
    <t>DOS-CPV</t>
  </si>
  <si>
    <t>U.S. Mission to Cape Verde</t>
  </si>
  <si>
    <t>Others (see text field entitled "Additional Information on Eligibility" for clarification) An SSH project must be submitted by an organized group that is motivated, has identified a real need, and has already successfully implemented projects in the community. The project should be feasible and based on the socio-economic context of the local community. Organizational Requirements: All applicants must be registered Non-Profit Organizations (NPOs). We welcome proposals from Community and Non-Governmental Organizations (NGOs) that work directly with communities. Organizations must be able to demonstrate that they have adequate internal controls and financial systems in place. In order to be eligible to receive an award, all organizations must also have a Unique Entity Identifier (UEI) number issued via www.SAM.gov as well as a valid registration on www.SAM.gov. To be eligible for funding the project must meet the following criteria: The project should help improve basic economic or social conditions at the local community level and have long-term value. The project should be high impact, benefiting the greatest number of people possible. Substantial community participation in the activity is required. Contributions may include labor, materials (bricks, sand, gravel, seeds, etc.), land, buildings, or money that is given to ensure the success of the project. [See the section below on  Local Community Involvement ]._x000D_
Funding is limited to one project, which must be completed within twelve (12) months or less._x000D_
Projects must be self-sustaining upon completion. The U.S. Embassy s support for the project is a one-time-only grant contribution. Projects must be within the community s ability to maintain and operate. Requests for large-scale agriculture or construction projects, or for expensive equipment are not considered priority projects._x000D_
Managers of a project should have proof that they are financially responsible and will be able to account for funds sent to them. Having a bank account, or establishing credit with vendors, are examples of such evidence. The requested amount for implementing activities cannot exceed $10,000. Project budgets generally range from $4,000 to $8,000. Limitations/Exclusions from Eligibility: The Self-Help Program may only pay for items and technical assistance that are absolutely necessary for the completion of the project. The program cannot be used for administrative costs, salaries, costs associated with the project manager, travel to and from the Embassy, or items that are not permanent in nature. Costs incurred prior to the actual award of a grant will be reimbursed only by pre-approval of the grants officer at the sole discretion of the Embassy. Additionally, the Special Self-Help Program does not fund:_x000D_
Requests to buy equipment like vehicles, office equipment, copiers, or stereos. Proposals that have a purely police, military, or cultural emphasis. Religious projects unless they genuinely assist the whole community without regard to religious affiliation._x000D_
Personal businesses. Scholarships, donations, or honorariums. Payment for pesticides, herbicides, labor, salaries, operating costs, printing material, fuel, or land._x000D_
To remodel or renovate an existing facility that is in disrepair as a result of neglect or lack of money._x000D_
Office supplies such as pencils, paper, forms, and folders._x000D_
Projects that are partially funded by another donor or from the government of Cabo Verde. Funds cannot be commingled with funds from other donors, international organization, or other U.S. government programs._x000D_
Projects that focus on refugees or displaced persons. There are specific U.S. bilateral or multilateral assistance programs designed to address their needs._x000D_
SSH funds may not be used to buy previously owned equipment, luxury goods, or gambling equipment._x000D_
Salaries or supervision costs for the supervising organization. Contingency estimates also do not qualify._x000D_
We encourage you to contact us with questions.</t>
  </si>
  <si>
    <t>U.S. Embassy Praia welcomes the submission of project applications for funding through the Ambassadorâ€™s Special Self-Help Program (SSH). If interested, please carefully review the instructions below. 
The SSH is a grass-roots grant assistance program that allows U.S. Ambassadors to support local requests for small community-based development projects. The purpose of the Special Self-Help Program is to support communities through modest grants that will positively impact local communities. The SSH philosophy is to help communities help themselves. Projects submitted for SSH must align with one or more U.S. Embassy priorities:  
Economic diversification, including small business creation and income generation  
Projects must aim to 1) generate sustainable income and employment opportunities in local communities, 2) advance economic diversification and encourage use of local natural resources or income generation, 3) promote a culture of entrepreneurship, and/or 4) improve economic or living conditions of a community. 
Women start-ups and women entrepreneurs 
Eligible projects assist women who are launching a business or who are overseeing the early stages of business development (between one to two years). Such projects must promote a culture of women-led entrepreneurship and innovation that can be replicated in the community. Projects must also promote profitable businesses that generate revenue and benefit the community. 
Social and economic inclusion and creation of opportunities 
Projects in this category must assist youth, children, women (particularly female heads of household), and other vulnerable groups to gain access to basic services (for example water, sanitation, and primary/pre-K education). They can also assist the creation of opportunities for vulnerable groups, particularly employment for youth. 
Environmental protection, sustainability, resilience to environmental vulnerabilities, and adaptation to environmental change 
Eligible projects will increase the capacity of communities to cope with vulnerability to drought and other environmental changes by building resilience, increasing capacity to adapt, and promoting income-generating activities. For example, projects may involve activities to improve water management, diversify agricultural practices, or provide benefits to the environment. 
 Local Community Involvement:  
 Local involvement of the organization or group must be at least 10% in cash or in kind of the total project costs. The community contribution of funding may be crucial to make a choice between two viable requestors. In-kind contributions could be: labor (wages of masons and workers), food, accommodation for qualified labor, carts of sand or gravel, bricks for construction, sand, fence, water supply, transportation costs, donations of materials etc. 
Additionally, community leaders can sign a statement of interest. Community leaders include local municipal leaders, religious leaders, civil society leaders, or any governing body that has oversight over where the project will be implemented. One community leader can sign the statement of interest; however, multiple signatures are strongly encouraged. Community leaders may also submit letters of support for the project. 
 Elements of a Successful Project 
 The project is initiated by the community. 
 The project plan contains pre-established long-term goals and a coherent plan to keep the project running in the future. 
 A capable project manager who is a long-term resident in the community is responsible for the project. 
 There is strong coordination and communication among the grant recipient, local leaders, and local government representatives. 
 The project makes use of materials and supplies that can be maintained by the community, and the materials that will not harm the environment. 
 The project has a high beneficiary to budget ratio, benefiting a significant number of community members 
 The project budget is clear, complete, and well defined. 
 The project responds to a community need and is based on a well-developed proposal that is responsive to the priorities and criteria explained in this NOFO. 
 Project activities and results show long-term sustainability. 
Application Documents and Procedures 
1. Applications for Special Self-Help Funds should include the following: 
a. Completed SSH form, which can be downloaded here. 
b. Detailed building plan with dimensions (if necessary/ if small-scale construction envisioned in the project proposal). 
c. Project location (include map if available). 
d. Any additional information/literature you have about your organization and/or project. 
 2. The following documents are required:  
 Mandatory application forms 
Â· (Application for Federal Assistance â€“ organizations)  
Â· (Budget Information for Non-Construction programs) 
 The forms can be downloaded from grants.gov. Instructions are available on the Embassy website at the  grant support resources toolkit 
3. Make sure that the below is addressed in your SSH form, or submit the following: Summary Page: Cover sheet stating the applicantâ€™s name and organization, proposal date, program title, program period proposed start and end date, and brief purpose of the program. Proposal (3 pages maximum): The proposal should contain sufficient information that anyone not familiar with it would understand exactly what the applicant wants to do. You may use your own proposal format, but it must include. Proposal Summary: Short narrative that outlines the proposed program, including program objectives and anticipated impact. Introduction to the Organization or Individual applying: A description of past and present operations, showing ability to carry out the program, including information on all previous grants from the U.S. Embassy and/or U.S. government agencies. Problem Statement: Clear, concise and well-supported statement of the problem to be addressed and why the proposed program is needed. Program Goals and Objectives: The â€œgoalsâ€ describe what the program is intended to achieve. The â€œobjectivesâ€ refer to the intermediate accomplishments on the way to the goals. These should be achievable and measurable. Program Activities: Describe the program activities and how they will help achieve the objectives. Program Methods and Design: A description of how the program is expected to work to solve the stated problem and achieve the goal. Include a logic model as appropriate. Proposed Program Schedule and Timeline: The proposed timeline for the program activities. Include the dates, times, and locations of planned activities and events. Key Personnel: Names, titles, roles and experience/qualifications of key personnel involved in the program. What proportion of their time will be used in support of this program? Program Partners: List the names and type of involvement of key partner organizations and sub-awardees. Program Monitoring and Evaluation Plan: This is an important part of successful grants. Throughout the time-frame of the grant, how will the activities be monitored to ensure they are happening in a timely manner, and how will the program be evaluated to make sure it is meeting the goals of the grant? Future Funding or Sustainability Applicantâ€™s plan for continuing the program beyond the grant period, or the availability of other resources, if applicable. 
 4. Budget Justification Narrative: After filling out the SF-424A Budget (above), use a separate sheet of paper to describe each of the budget expenses in detail. 
 Proposals can be submitted in English or Portuguese languages.  
Submit the complete application package to the U.S. Self-Help Coordinator/ Praia Grants. Applications will be accepted in electronic format, on a rolling basis. Email all required information to praiagrants@state.gov 
 Application Deadline: Applications received after will be considered with the next application period or will not be considered. Project selections will be announced by October. 
Applications will be evaluated on the following factors:  Did the applicant submit all of the materials requested, including but not limited to requirements in the SSH forms found on U.S. Embassy Praiaâ€™s website. Embassy priorities: Does the application describe how the projectâ€™s goals are related to the Embassy priorities stated in this document? Sustainability: Is the project sustainable in the long term? Will the project be able to continue without additional investment? Are the suggested measurements of success adequate? Need: Does the project adequately fulfill a stated need within a community? Budget: Is the budget complete, and well defined? Is the budget reasonable? Completion within one year: Can the project be completed in a single year? Community support: Does the project show strong community support? Impact: Does the project benefit the broadest numbers of beneficiaries possible? Is there a substantial impact on the affected community? Contribution and Group Capabilities: Does the group provide adequate resources and show commitment to the project? Is the group capable of administering the project as designed? 
 Review and Selection Process: A review committee will evaluate all eligible applications.  
Other Required Documentation/ Reporting: Groups selected for funding will subsequently need to submit several required forms, including U.S. Standard Form 424, a grants award document, and any other terms and conditions required by U.S. Embassy Praia. Performance and financial reports will be required throughout the duration of the award. 
Publicity Campaign: It is expected that publicity will be given to the Ambassadorâ€™s Special Self-Help program and its projects, including press and radio releases, photographs, and project site plaques that acknowledge the shared efforts of Cabo Verde and the United States. Publicity costs should be considered in the proposed budget. 
Funding: U.S. Embassy Praia is not required to fund any applications. Submitting an application does not guarantee selection.</t>
  </si>
  <si>
    <t>USAID Biodiversity Conservation</t>
  </si>
  <si>
    <t>Amendment 1: Questions   Answers</t>
  </si>
  <si>
    <t>Staff Research Program</t>
  </si>
  <si>
    <t>Others (see text field entitled "Additional Information on Eligibility" for clarification) Eligible applicants under this BAA include institutions of higher education with recognizedcapability for scientific research in mechanical sciences, mathematical sciences, electronics,computing science, physics, chemistry, life sciences, materials science, network science, andenvironmental sciences.</t>
  </si>
  <si>
    <t>The ARO is soliciting proposals for Staff Research Program opportunities. The purpose of the program is to enable ARO scientific staff to maintain and expand professional competence in support of fulfilling the ARO mission through the conduct of hands-on, basic research. The staff research will be performed collaboratively with institutions external to ARO. Staff research efforts will involve scientific study directed toward advancing the state-of-the-art or increasing knowledge and scientific understanding in engineering, physical, life and information sciences, when there is an intersection with the interests and capabilities of the participating external institutions in these basic research areas.Protection of Mission Integrity: The primary role of the ARO scientific staff is to objectively assess and fund extramural research at numerous institutions across the U.S. and throughout the world. Since it is vitally important that the ARO be impartial in its actions, ARO scientists cannot engage in activities that could compromise the perceived objectivity of that scientist with respect to the institution, or with respect to the areas of science/engineering that they are responsible for as Program Managers. Consequently, ARO Program Managers will be disqualified from taking official actions regarding any institution at which that PM conducts Staff Research.Staff research will be conducted, directed and managed by an ARO scientist at the institution's laboratory facilities or field research sites, in collaboration with a PI designated by the institution. ARO scientists will not be named as a PI on any proposal or resulting award. Results of the Staff Research Program may include publication or co-authorship of research results and presentation at scientific forums, and contribute to the education and training of students, in accordance with the terms of the cooperative agreement.NOTE: ARO scientific staff will seek out a collaborating institution to engage in staff research as opportunities arise and at the discretion of ARO.</t>
  </si>
  <si>
    <t>Expeditions in Computing</t>
  </si>
  <si>
    <t>Others (see text field entitled "Additional Information on Eligibility" for clarification) *Who May Submit Proposals: Proposals may only be submitted by the following:
  -
Institutions of Higher Education (IHEs)accredited in, and having a campus located in the U.S.,with undergraduate, masters, and doctoral programs in computer and information science and engineering fields may submit proposals as lead or collaborative institutions. Subawardees may include two-and four-year U.S. IHEs,non-profit non-academic organizationssuch as independent museums, institutes, observatories, professional societies and similar organizations located in the U.S. that are directly associated with education or research activities in the computer and information science and engineering fields. Other organizations such as national laboratories, for-profit organizations and organizations in other countries may participate in the proposed activities if they have independent sources of support; they will not be supported by NSF.</t>
  </si>
  <si>
    <t>The far-reaching impact and rate of innovation in the computer and information science and engineering  elds has been remarkable, generating economic prosperity and enhancing the quality of life for people throughout the world.
More than a decade ago, the National Science Foundation s (NSF) Directorate for Computer and Information Science and Engineering (CISE) established the Expeditions in Computing (Expeditions) program to build on past successes and provide the CISE research and education community with the opportunity to pursue ambitious, fundamental research agendas that promise to de ne the future of computing and information.
In planning Expeditions projects, investigators are strongly encouraged to come together within or across departments or institutions to combine their creative talents in the identi cation of compelling, transformative research agendas that look ahead by at least a decade and promise disruptive innovations in computer and information science and engineering for many years to come.
Now funded at levels up to $15,000,000 for seven years, Expeditions projects represent some of the largest single investments currently made by the CISE directorate. Together with the Science and Technology Centers and the National Artificial Intelligence Research Institutes that CISE supports, Expeditions projects form the centerpiece of the directorate's center-scale award portfolio. With awards funded at levels that promote the formation of large research teams, CISE recognizes that concurrent research advances in multiple  elds or sub- elds are often necessary to stimulate deep and enduring outcomes. The awards made in this program will complement research areas supported by other CISE programs, which target particular computer and information science and engineering  elds.
Additionally, CISE offers Innovation Transition (InTrans) awards for teams nearing the end of their Expeditions as well as Secure and Trustworthy Cyberspace (SaTC) and Cyber-Physical Systems (CPS) Frontier projects. The goal of InTransis to continue the long-term vision and objectives of CISE s center-scale projects. Through InTrans awards, CISE will provide limited funds to match industry support.</t>
  </si>
  <si>
    <t>Foundational Research in Robotics</t>
  </si>
  <si>
    <t>The Foundational Research in Robotics (FRR) program, jointly led by the CISE and ENG Directorates, supports research on robotic systems that exhibit significant levels of both computational capability and physical complexity. For the purposes of this program, a robot is defined as intelligence embodied in an engineered construct, with the ability to process information, sense, plan, and move within or substantially alter its working environment. Here intelligence includes a broad class of methods that enable a robot to solve problems or to make contextually appropriate decisions and act upon them. The program welcomes research that considers inextricably interwoven questions of intelligence, computation, and embodiment. Projects may also focus on a distinct aspect of intelligence, computation, or embodiment, as long as the proposed research is clearly justified in the context of a class of robots.
_x000D_
The focus of the FRR program is on foundational advances in robotics. Robotics is a deeply interdisciplinary field, and proposals are encouraged across the full range of fundamental engineering and computer science research challenges arising in robotics. To be responsive to the FRR program, each proposal should clearly articulate the following three points:
_x000D_
_x000D_
The focus of the research project should be a robot or a class of robots, as defined above. [Is there a robot?]_x000D_
The goal of the project should be to endow a robot or a class of robots with new and useful capabilities or to significantly enhance existing capabilities. [Will a robot gain a new or significantly improved capability?]_x000D_
The intellectual contribution of the proposed work should address fundamental gaps in robotics. [Is robotics essential to the intellectual merit of the proposal?]_x000D_
_x000D_
Meaningful experimental validation on a physical platform is encouraged.
_x000D_
Projects that do not represent a direct fundamental contribution to the science of robotics or are better aligned with other existing programs at NSF should not be submitted to the FRR program.
_x000D_
Potential investigators are strongly encouraged to discuss their projects with an FRR Program Officer before submission. Non-compliant proposals may be returned without review.</t>
  </si>
  <si>
    <t>NIST MEP Disaster Assessment Program</t>
  </si>
  <si>
    <t>Others (see text field entitled "Additional Information on Eligibility" for clarification) Eligible applicants for this funding opportunity are recipients of current MEP Center cooperative agreements. A MEP Center recipient may work individually or may include proposed subawards to other recipients of MEP Center cooperative agreements and/or proposed contracts with other organizations as part of the applicant s proposal, effectively forming a team or consortium.  A MEP Center may only submit one funding application for each FEMA Disaster Declaration and, where an application is submitted with respect to a particular FEMA Disaster Declaration, such MEP Center may not be included as a subawardee or as a project participant in any other applications pertaining to the same FEMA Disaster Declaration. Moreover, a MEP Center that does not submit a funding application for a particular FEMA Disaster Declaration may only be included as a subawardee or as a project participant in one funding application for each FEMA Disaster Declaration.</t>
  </si>
  <si>
    <t>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See Section I. in the Full Announcement Text of this NOFO.</t>
  </si>
  <si>
    <t>Advancing Higher Education for Afghanistan s Development</t>
  </si>
  <si>
    <t>USAID-AFG</t>
  </si>
  <si>
    <t>Afghanistan USAID-Kabul</t>
  </si>
  <si>
    <t xml:space="preserve">
The United States Agency for International Development (USAID) is issuing this Annual Program Statement (APS) pursuant to the Foreign Assistance Act (FAA) of 1961, as amended. The Agency will administer any resulting awards in accordance with ADS 303, Parts 200 and 700 of Title 2 of the Code of Federal Regulations (CFR), Uniform Administrative Requirements, Cost Principles, and Audit Requirements for Federal Awards; Standard Provisions for US/Non-US Organizations; as well as the additional requirements in this APS and any Rounds. The USAID Mission in Afghanistan (USAID/Afghanistan) is pleased to announce this Advancing Higher Education for Afghanistanâ€™s Development (AHEAD) APS.
Through this APS, USAID/Afghanistan announces its desire, through addendum posted to the APS, to fund one or multiple awards to test, adopt, and scale creative or innovative solutions to meet development challenges in the area of higher education.
The AHEAD APS is not a Request for Applications (RFA). The APS requests Concept Notes in response to addendum published to this APS. Based on the review of those concept notes led by a USAID team and potential participation in a co-creation process, USAID will determine whether to request a full application from an appropriate partner(s). USAID reserves the right to fund any or none of the concept notes and applications submitted under this APS and its respective addendum. USAID also reserves the right to not conduct a co-creation phase and request full applications from successful Applicants at the Concept Paper stage.
Amendment #01 added on Dec. 22, 2019
The purposes of this Amendment #01 are:
1) to correct the typo on the Closing Date on the cover page of the APS; 
2) to revise Eligibility section of the APS and Addendum 01; and
3) to provide USAID responses to all questions received from prospective applicants. 
</t>
  </si>
  <si>
    <t>NSF Directorate for Engineering - UKRI Engineering and Physical Sciences Research Council Lead Agency Opportunity</t>
  </si>
  <si>
    <t>Others (see text field entitled "Additional Information on Eligibility" for clarification) *Who May Serve as PI:
 br / Each proposal must include at least one US-eligible collaborator as lead PI and at least 1 UK-eligible collaborator as senior personnel.</t>
  </si>
  <si>
    <t>The Directorate for Engineering (ENG), Division of Chemical, Bioengineering, Environmental, and Transport Systems (CBET), the Division of Civil, Mechanical and Manufacturing Innovation (CMMI), and the Division of Electrical, Communications and Cyber Systems (ECCS) of the National Science Foundation and the Engineering, ICT and Manufacturing the Future Themes of the UK Engineering and Physical Sciences Research Council (EPSRC) are pleased to announce the ENG-EPSRC Lead Agency Opportunity. The goal of thisopportunity is to reduce some of the barriers that researchers currently encounter when working internationally. The ENG-EPSRC Lead AgencyOpportunity will allow US and UK researchers to submit a single collaborative proposal that will undergo a single review process.
_x000D_
Proposals will be accepted for collaborative research in areas at the intersection of CBET, CMMI, and/or ECCS with the EPSRC Engineering, ICT and/or Manufacturing the Future Themes. Proposers choose either NSF or EPSRC to serve as the   agency to review their proposal. The non-lead agency will honor the rigorof the review process and the decision of the lead agency. For research teams that would like EPSRC to act as lead agency, please see the instructions at:https://epsrc.ukri.org/about/partner/international/agreements/nsf.
_x000D_
Proposers should review the CBET, CMMI, and ECCS Program Descriptions for research supported through these divisions and the EPSRC website for further information on what areas of research are eligible for support through this activity. Proposals are expected to adhere to typical proposal budgets and durations for the relevantNSF programs and EPSRC Themes from which funding is sought.</t>
  </si>
  <si>
    <t>Biosensing</t>
  </si>
  <si>
    <t>The Biosensing program is part of the Engineering Biology and Health cluster, which also includes 1) the Biophotonics program; 2) the Cellular and Biochemical Engineering program; 3) the Disability and Rehabilitation Engineering program; and 4) the Engineering of Biomedical Systems program.
_x000D_
The Biosensing program supports fundamental engineering research in the monitoring, identification and/or quantification of biological analytes and phenomena using innovations that exist at the intersection of engineering, life sciences, and information technology. Projects submitted to the program must advance both engineering and life sciences.
_x000D_
The Biosensing program encourages proposals that, in addition to advancing biosensing technology, address critical sensor needs in biomedical research, public health, food safety, agriculture, forensics, environmental protection, and homeland security.
_x000D_
Proposals are especially encouraged in areas of critical need: sensing technologies that can enable monitoring and surveillance of the environment and/or individuals for novel infectious agents; platform technologies that can readily be modified as soon as new agents are detected, sequenced, and/or otherwise characterized to enable rapid deployment of sensors in clinics and the environment; and adaptive and/or multiplex sensing technologies that can help the nation prevent the spread of the next global pandemic.
_x000D_
Major areas of interest for the program include:
_x000D_
_x000D_
Novel signal transduction principles and mechanisms that enable sensitive and specific biosensors, suitable for measurements in multiple areas;_x000D_
Design of novel biorecognition elements and appropriately designed transducing systems to enable adaptable and/or reconfigurable operating parameters in response to environmental changes or application needs at levels of device, system, or data analysis;_x000D_
Development of adaptive and/or evolvable biosensing systems for detection of novel target analytes or analytes under novel conditions;_x000D_
Novel synthetic biology approaches for the development of cell-free and cell-based biosensors; and_x000D_
Combining biosensors with artificial intelligence (AI) methods to improve sensor specificity and response time._x000D_
_x000D_
Innovative ideas outside of the above specific interest areas may be considered. However, prior to submission, it is recommended that the PI contact the program director to avoid the possibility of the proposal being returned without review.
_x000D_
The Biosensors program does not encourage proposals addressing circuit design for signal processing and amplification, computational modeling, and microfluidics for sample separation and filtration. Medical imaging-based measurements are outside of the scope of the program interests. Proposals that rely heavily on descriptive approaches are given lower priority. Proposals for optimizing and/or utilizing established methods for specific applications should be directed to programs focused on the application of sensor technology.
_x000D_
NOTE: Projects related to water and/or soil quality may be jointly supported with the Environmental Engineering program (CBET 1440). Photonic devices with medical imaging and/or optogenetics should be submitted to the Biophotonics program (CBET 7236). Applications of devices for tissue engineering or organ-on-chip systems should be submitted to the Engineering of Biomedical Systems program (CBET 5345). Basic chemical/biochemical sensing mechanisms should be submitted to the Chemical Measurement and Imaging program (CMI 6880) in the Division of Chemistry. Proposals for dynamic biosensing systems, including circuit design for signal/data processing and amplification, and sensing systems through communication and machine learning should be submitted to the Communications, Circuits, and Sensing-Systems program (CCSS 7564) in the Division of Electrical, Communications, and Cyber Systems.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t>
  </si>
  <si>
    <t>Environmental Engineering</t>
  </si>
  <si>
    <t>The Environmental Engineering program is part of the Environmental Engineering and Sustainability cluster, which also includes 1) the Nanoscale Interactions program; and 2) the Environmental Sustainability program.
Environmental engineering is an interdisciplinary field that applies chemical, biological, and physical scientific principles to protect human and ecological health.
The goal of the Environmental Engineering program is tosupport potentially transformative fundamental research that applies scientific and engineering principles to 1) prevent, minimize, or re-use solid, liquid, and gaseous discharges of pollution to soil, water, and air by closing resource loops or through other measures; 2) mitigate the ecological and human-health impacts of such releases by smart/adaptive/reactive amendments or manipulation of the environment, and 3) remediate polluted environments through engineered chemical, biological, and/or geo-physical processes.
Integral to achieving these goals is a fundamental understanding of the transport and biogeochemical reactivity of pollutants in the environment. Therefore, research on environmental micro/biology, environmental chemistry, and environmental geophysics may be relevant providing the research has a clear objective of protecting human and ecological health.
Major areas of interest include (but are not limited to): 
Building afuture without pollution or waste: Investigation of innovative biogeochemical processes that prevent or minimize the production of waste; waste valorization and other research that will lead to new technologies toextract resources from waste streams to close the resource loop.
Sustainable supply and protection ofwater: Investigation of innovative biogeochemical processesthat remove, biologically or chemically transform, and/or prevent therelease of contaminants in surface and groundwater; innovative processesfor recovery of water, nutrients, and other resources from wastewater,saline water, or brines; innovative approaches to smart and adaptive management of surface water, groundwater, and urban watersheds and storm water to maintain/improve quality and prevent downstream impacts from nutrients and other water constituents.
Environmentalchemistry, fate, and transport of nutrients and contaminants of emergingconcern in air, water, soils, and sediments:Investigation of transport and biogeochemical reactivity in theenvironment; environmental forensics to identify sources and reaction pathways; field- and laboratory scale experimental research that bridgesgaps between data and predictions from molecular, continuum, and field-scale modeling.
Environmentalengineering of the built environment: Research to understand the biogeochemical reactivity of the builtenvironment with the goal of enhancing and improving human and ecological health; research that will lead to new technologies to improve outdoor and indoor air quality; research to understand how drinking water and wastewater chemical characteristics and microbial community structure impact or are affected by water quality and human health.
NOTE: Proposals with a scientific focus on chemical or physical separation processes (for example, materials or processes for reverse osmosis, membrane distillation, and hypo-filtration) should be submitted to the Interfacial Engineering program (CBET 1417). Proposals that seek to advance fundamental and quantitative understanding of the behaviors of nanomaterials and nanosystems should be submitted to the Nanoscale Interactions program (CBET 1179). Proposals focused on in vitro molecular-level environmental chemistry research should be submitted to Environmental Chemical Sciences program (CHE-ECS 6882). Proposals focusing on industrial ecology, green engineering, and ecological/earth systems engineering should be submitted to the Environmental Sustainability program (CBET 7643). Proposals whose main research focus is on materials development, sensors, or environmental monitoring that do not seek to understand biogeochemical reactivity mechanisms or treatment efficiency are not encouraged and may be returned without review.
Innovative proposals outside of these specific interest areas may be considered. However, prior to submission, it is recommended that the PI contact the program director to avoid the possibility of the proposal being returned without review.
INFORMATION COMMON TO MOST CBET PROGRAMS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Faculty Early Career Development(CAREER)program proposals are strongly encouraged. Award duration is five years. The submission deadline for Engineering CAREER proposals is in July every year. Learn more in the CAREER program description.
Proposals for Conferences, Workshops, and Supplements: PIs are strongly encouraged to discuss their requests with the program director before submission of the proposal.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encouraged.Please note that RAPID, EAGER, and GOALI proposals can be submitted anytime during the year. Details about RAPID, EAGER, and GOALI are available in the Proposal   Award Policies   Procedures Guide(PAPPG), Part 1, Chapter II, Section E: Types of Proposals.
Compliance: Proposals that are not compliant with theProposal   Award Policies   Procedures Guide (PAPPG)will be returned without review.</t>
  </si>
  <si>
    <t>National Space Grant College and Fellowship Program - Opportunities in NASA STEM FY 2020   2024</t>
  </si>
  <si>
    <t>Others (see text field entitled "Additional Information on Eligibility" for clarification) Space Grant Lead Institutions as defined here: https://www.nasa.gov/offices/education/programs/national/spacegrant/home/Space_Grant_Consortium_Websites.html</t>
  </si>
  <si>
    <t xml:space="preserve"> 
This Cooperative Agreement Notice is a multi-year award thataims to contribute to NASAâ€™s mission, Office of STEM Education priorities,Co-STEM goals, Mission Directorate collaborations, and state based needs.  The multi-year award will be available to allSpace Grant Consortia who will work with the Office of STEM Engagement tofulfill these objectives.  Through thecombined efforts of the Space Grant Consortia, this program will 1) enablecontributions to NASAâ€™s work, 2) build a diverse, skilled future workforce, and3) strengthen understanding of STEM through powerful connections to NASA.  The program will focus on providingopportunities for students to engage with NASAâ€™s aeronautics, space, andscience people, content, and facilities in support of a diverse future NASA andaerospace industry workforce, as well as, providingopportunities for students to contribute to NASAâ€™s aeronautics, space, andscience missions and work in exploration and discovery through MissionDirectorate collaborations.    
Everyinstitution that intends to submit a proposal to this NRA, including theproposed prime award or any partner whether an education institution, and otherorganizations that will serve as sub-awardees or contractors, must be registered in NSPIRES. Electronicsubmission of proposals is required by the due date and must be submitted byan authorized official of the proposing organization. Such registrationmust identify the authorized organizational representative(s) who will submitthe electronic proposal. All principal investigators and other participants(e.g. co-investigators) must be registered in NSPIRES regardless of submissionsystem. Potential proposers and proposing organizations are urged to accessthe system(s) well in advance of the proposal due date(s) of interest tofamiliarize themselves with its structure and enter the requested information.Electronic proposals may be submitted via the NASA proposal data systemNSPIRES. Additional programmatic information for this NRAmay develop before the proposal due date. If so, such information will be addedas a Frequently Asked Question (FAQ) or formal amendment to this NRA and postedon http://nspires.nasaprs.com. It is the proposerâ€™s responsibility to regularly check NSPIRESfor updates to this NRA.   
 P oint of Contact 
Name:   Erica J. Alston 
Title:   Deputy Space GrantProgram Manager  
Phone:   757-864-7247  
E-mail:   SGCFP@nasaprs.com  
</t>
  </si>
  <si>
    <t>Initiative for Human Rights</t>
  </si>
  <si>
    <t>Others (see text field entitled "Additional Information on Eligibility" for clarification) U.S. and non-U.S. nongovernmental organizations (other than those from foreign policy restricted countries), including but not limited to foundations, academic and research organizations, faith-based organizations, for-profit private enterprises, and consortia. Individuals are not eligible to participate.</t>
  </si>
  <si>
    <t xml:space="preserve">Addendum #2 Initiative for Human Rights Amendment 1 
Issuance Date: May 9, 2019 
Closing Date for Concept Papers: May 29, 2019, 9:00 AM Manila time 
The  purpose of this Amendment is to provide responses to questions received for above Addendum #2. 
In addition to this Amendment, Applicants must read the APS Initiatives for Democracy Amendment #1 (file name: 72049219APS00001 Amendment 1.pdf), APS Initiatives for Democracy Amendment #1 Attachment 1 (Responses to Questions) (file name: Attachment 1 - Response to Questions.pdf) and all future amendments. These files can be found under the "Related Documents" tab of this funding opportunity. 
</t>
  </si>
  <si>
    <t>High-Risk Research in Biological Anthropology and Archaeology</t>
  </si>
  <si>
    <t>Anthropological research may be conducted under unusual circumstances, often in distant locations. As a result the ability to conduct potentially important research may hinge on factors that are impossible to assess from a distance and some projects with potentially great payoffs may face difficulties in securing funding. This program gives small awards that provide investigators with the opportunity to assess the feasibility of an anthropological research project. It is required that the proposed activity be clearly high risk in nature. The information gathered may then be used as the basis for preparing a more fully developed research program. 
_x000D_
Investigators must contact the cognizant NSF Program Director before submitting an HRRBAA proposal. This will facilitate determining whether the proposed work is appropriate for HRRBAA support.</t>
  </si>
  <si>
    <t>Supporting Emergency Agriculture Design and Standards (SEADS)</t>
  </si>
  <si>
    <t>Unrestricted (i.e., open to any type of entity above), subject to any clarification in text field entitled "Additional Information on Eligibility" See APS Section C for applicant eligibility details.</t>
  </si>
  <si>
    <t xml:space="preserve">&lt;div style="mso-element:para-border-div;border:none black 1.0pt;mso-border-alt:_x000D_
none black 0in;padding:0in 0in 0in 0in;margin-left:0in;margin-right:-12.6pt;"&gt; 
 &lt;p style="margin-bottom:0in;margin-bottom:.0001pt;line-height:_x000D_
normal;border:none;mso-border-alt:none black 0in;padding:0in;mso-padding-alt:_x000D_
0in 0in 0in 0in;mso-border-between:0in none black;mso-padding-between:0in"&gt;Under this APS, the United States Agency for International Development (USAID) Office of U.S. Foreign Disaster Assistance (OFDA) will consider applications for the development and dissemination of Supporting Emergency Agriculture Design and Standards (SEADS). Applicant Eligibility Information for this award is described in Section C of this Notice of Funding Opportunity (NFO). Subject to the availability of funds, USAID intends to award a single Cooperative Agreement to a responsible applicant whose application best meets the objectives of this funding opportunity and the selection criteria contained herein. USAID reserves the right to fund one or more or none of the applications submitted.   
</t>
  </si>
  <si>
    <t>Resilient Governance in Niger (RGN)</t>
  </si>
  <si>
    <t>USAID-SEN</t>
  </si>
  <si>
    <t>Senegal USAID-Dakar</t>
  </si>
  <si>
    <t>This USAID/Sahel Regional Office (SRO) RFI is issued for the purpose of providing  stakeholders an opportunity to review, comment, suggest, and enhance areas in the attached draft design document  for a new USAID/Sahel Regional Office activity: the Resilient Governance in Niger activity (RGN). RGN is expected to be an $18,000,000, three-year activity, with two option years for a total of five years, subject to the availability of funds. RGN will serve leading governance activity in Niger under the USAIDâ€™s Resilience in the Sahel II Project (RISE II). RGN will address Objective 4: Enhance governance of institutions and organizations, of the RISE II results framework (attached), specifically sub-IR 4.1: Improved performance of sub-national state institutions and sub-IR 4.2: Strengthened local civil society and community based organizations. The Activity is intended to support locally-driven, politically feasible approaches to enhance:  
  Municipal government and citizen understanding of the roles and responsibilities of municipal governments and deconcentrated national authorities, and intergovernmental communications concerning local governance;  
  Planning, budgeting and administrative capacity of municipal governments to manage and mobilize financial and human resources for locally-determined service and infrastructure needs; and  
  Civic engagement in communal governance - in determining local priorities, and in holding government accountable to meet its obligations  
   USAID has revised its program cycle guidance to facilitate more adaptive, contextually-driven programming approaches, and the choice of a high-level, objective-oriented  design rather than a more prescriptive scope reflects this. The attached draft presents RGNâ€™s proposed objectives and expected outcomes. USAID/Sahel Regional Office may significantly revise this proposed new activity and planned solicitation resulting from the comments received, and from further stakeholder consultations. This RFI is issued solely for information and planning purposes and does not constitute a Request for Applications or Proposals (RFA/RFP). Responses to this RFI shall not be portrayed as proposals and will not be accepted by the U.S. Government (USG) to form a binding agreement. This RFI is not to be construed as a commitment by the USG to issue any solicitation or ultimately award of an assistance agreement or contract on the basis of this RFI, or to pay for any information submitted as a result of this request. Responders are solely responsible for all expenses associated with responding to this RFI. USAID reserves the right to modify the scope and scale of the RFI (following the pre-solicitation conference). It should be noted that responding to or providing comment on this RFI will not give any advantage to any organization in any subsequent procurement. USAID/Sahel Regional Office will not provide answers to any question submitted in response to this request.By issuing the draft for comment, USAID/Sahel Regional Office aims to consult with a broad community of public and private sector actors concerned with improving governance and service delivery in Niger. Your comments are requested to help refine the draft design document to ensure clarity, maximum development impact, coordination with existing and planned USAID and other development partner programs, and alignment with the Government of Nigerâ€™s priorities. Please provide no more than four  (4) pages of comments no later than December 24, 2018 via email to sahelregional@usaid.gov. While the limit on the length of submissions is four pages, we value concise, issue-specific comments with reference to page and section numbers in the draft design document. You may receive an electronic confirmation acknowledging receipt of your response.  USAID seeks feedback in particular on the following questions:1)  Are the Activity theory of change and expected outcomes clear and realistic? 2) Does the program description provide potential implementers with sufficient information and guidance about USAID/SROâ€™s objectives and expectations?3) RGN is intended to embody principles of flexible, adaptive management and context-driven, locally-owned approaches to systems change. What suggestions do you have for how to ensure this is well-reflected in a solicitation/notice of funding opportunity? USAID will hold a Pre-Solicitation Conference on Wednesday December 19, 2018 at the U.S. Embassy in Dakar from 14:30 to 17:00 local time (GMT). For convenience, participation through webinar will be provided.Organizations may send up to two (2) participants to the conference in-person. Additionally, others may connect remotely. To facilitate better planning, please RSVP your attendance by filling-in the registration form no later than December 12, 2018 indicating whether you will participate in-person in Dakar, or call in remotely. Link for registration form:  https://goo.gl/forms/IjVTjZu764kWwRsF3  We will send you the remote connection information once we receive the RSVP.</t>
  </si>
  <si>
    <t>Renewable Energy Systems and Energy Efficiency Improvements Program</t>
  </si>
  <si>
    <t>Native American tribal organizations (other than Federally recognized tribal governments) Agricultural Producers</t>
  </si>
  <si>
    <t>REAP Renewable Energy Systems and Energy Efficiency Improvement Program.Refer to Application Package AND Application Instruction links to obtain all necessary forms for a complete application.Contact State Energy Coordinators with questions: http://www.rd.usda.gov/files/RBS_StateEnergyCoordinators.pdf</t>
  </si>
  <si>
    <t>One Health Workforce (OHW) Next Generation</t>
  </si>
  <si>
    <t>Others (see text field entitled "Additional Information on Eligibility" for clarification) Applicants will be required to apply as part of a coalition that includes faculties and schools of public health, animal health, medicine, the environment, and public administration at tertiary higher education institutions in the United States and/or overseas. The prime must be an accredited, degree-offering higher education institution or an association comprised of accredited, degree-offering higher education institutions. All types of organizations, including colleges and universities, non-governmental organizations, not for-profit organizations, for-profit organizations, small businesses, private voluntary organizations, and faith-based organizations, will be eligible to participate as sub-recipients. Minority-serving institutions of higher education are encouraged to apply. As beneficiary institutions, university members of the African and Southeast Asian One Health (OH) university networks (One Health Central and East Africa and Southeast Asia One Health University Network) will not be eligible to apply.</t>
  </si>
  <si>
    <t xml:space="preserve"> 
&lt;span style="font-size:10.0pt;_x000D_
font-family:Arial,sans-serif;color:#222222;"&gt;Invitation: Pre-Application Conference (Amendment 5)&lt;span style="font-size:10.0pt;font-family:Arial,sans-serif;_x000D_
color:#363636;"&gt;  
&lt;span style="font-size:10.0pt;_x000D_
font-family:Arial,sans-serif;color:#222222;"&gt;Purpose:  
&lt;p style="margin-left:.5in;text-indent:-.25in;line-height:13.5pt;background:_x000D_
white"&gt;&lt;span style="font-size:10.0pt;font-family:Arial,sans-serif;_x000D_
color:#222222;"&gt;1)   Upload pre-application conference presentations, questions and answers, and list of participants&lt;span style="font-size:_x000D_
9.0pt;font-family:Arial,sans-serif;color:#363636;"&gt;  
&lt;span style="font-size:10.0pt;_x000D_
font-family:Arial,sans-serif;color:#222222;"&gt;Dear International Development Community:&lt;span style="font-size:10.0pt;font-family:Arial,sans-serif;_x000D_
color:#363636;"&gt;  
&lt;span style="font-size:10.0pt;_x000D_
font-family:Arial,sans-serif;color:#222222;"&gt;The United States Agency for International Development (USAID) invited organizations working on the prevention, detection, and response of infectious disease threats to participate in the pre-application conference organized by USAIDâ€™s Emerging Threats Division held on November 29, 2018, in Washington, DC. A call-in line was also available for Washington's conference.   
&lt;span style="font-size:10.0pt;font-family:Arial,sans-serif;_x000D_
color:#222222;"&gt;This amendment provides a copy of the PowerPoint presentations presented in the conference, questions and answers, and the list of participants.&lt;span style="font-size:10.0pt;font-family:Arial,sans-serif;_x000D_
color:#363636;"&gt;  
&lt;span style="font-size:10.0pt;_x000D_
font-family:Arial,sans-serif;color:#222222;"&gt;At the meeting in Washington, D.C., USAID discussed a Request for Information (RFI) provided as Annex 1 soliciting feedback from a broad range of stakeholders, including the higher education community, on a planned activity to equip current and future workforces with the multisectoral skills and competencies required to address infectious disease threats.  
&lt;span style="font-size:10.0pt;_x000D_
font-family:Arial,sans-serif;color:#363636;"&gt;The RFI (Appendix 1) was posted for the following purposes:  
&lt;p style="margin-left:.5in;text-indent:-.25in;line-height:13.5pt;background:_x000D_
white"&gt;&lt;span style="font-size:10.0pt;font-family:Arial,sans-serif;_x000D_
color:#363636;"&gt;1) To obtain feedback on questions pertinent to the RFI (Appendix 1)  
&lt;p style="margin-left:.5in;text-indent:-.25in;line-height:13.5pt;background:_x000D_
white"&gt;&lt;span style="font-size:10.0pt;font-family:Arial,sans-serif;_x000D_
color:#363636;"&gt;2) To provide industry and stakeholders an opportunity to review, comment and provide suggestions for improvement or clarification of the DRAFT Program Description for One Health Workforce Next Generation activity (Appendix 2)  
The comments to the Program Descriptions will not be shared; however, questions and responses as result to this RFI are made public with this amendment.&lt;span style="font-size:_x000D_
10.0pt;font-family:Arial,sans-serif;color:#363636;"&gt;  
&lt;span style="font-size:10.0pt;_x000D_
font-family:Arial,sans-serif;color:#363636;"&gt;Addressing infectious disease threats requires workforces that not only have the technical skills and competencies to function within their own discipline and sector, but also possess the skills to effectively and sustainably work across sectors and disciplines. USAID has invested for nearly a decade in the development of two regional OH university networks in Africa and Southeast Asia that are committed to transforming health workforces to function more effectively and across sectors: One Health Central and East Africa (OHCEA), which is based in Kampala, Uganda, and Southeast Asian One Health University Network (SEAOHUN), which is based in Chiangmai, Thailand. These networks are comprised of 144 schools and faculties in 84 universities across 12 countries. Under OHW Next Generation, USAID plans to build on this investment by strengthening the organizational capacity of these two networks to use assessments of multisectoral workforce capacity to inform the design and adaptation of training and educational offerings, develop and deliver educational offerings in alignment with prioritized One Health core competencies and technical skills, and acquire and manage direct donor funding.  
&lt;span style="font-size:10.0pt;_x000D_
font-family:Arial,sans-serif;color:#363636;"&gt;One cooperative agreement will be awarded to a qualified higher education institution that will represent a coalition of universities and other public and private sector organizations that will work with OHCEA and SEAOHUN, as beneficiary institutions. More information on eligibility can be found under the â€œEligibilityâ€ section of this Synopsis.  
Thank you for your interest in USAIDâ€™s Emerging Threats Programming.  
THIS NOTICE IS NOT A COMMITMENT TO AWARD. &lt;span style="font-size:10.0pt;font-family:_x000D_
Arial,sans-serif;color:#363636;"&gt;  
&lt;span style="font-size:_x000D_
10.0pt;font-family:Arial,sans-serif;color:#363636;"&gt;All of the information contained in this Notice is subject to change.  
</t>
  </si>
  <si>
    <t>Crosscutting Activities in Materials Research</t>
  </si>
  <si>
    <t xml:space="preserve">Crosscutting Activities in Materials Research (XC) coordinates and supports crosscutting activities within the Division of Materials Research (DMR) and more broadly across NSF.
_x000D_
The emphasis within XC is diversity and inclusion, international cooperation, and education (including experiential learning at REU/RET Sites). Additionally, activities that broadly engage the community, such as summer schools, institutes, workshops, and conferences that do not fit within just one or two programs in the Division of Materials Research, may be supported by XC.If preparing a workshop proposal, follow the Special Guidelines for Conference Proposals outlined in the Proposal   Award Policies   Procedures Guide (PAPPG). Occasionally projects crossing several programs in DMR are shifted to XC or co-funded by XC. The goal is to bring greater visibility to these projects through DMR s XC website.
_x000D_
Proposals are welcome that do not fit elsewhere at NSF that are also highly relevant for the materials research and education community. Some XC activities are co-funded with other NSF units. XC does not handle traditional research proposals suitable for submission to topical or other programs in DMR. For this reason, the XC Team welcomes inquiries that include a draft of one-page NSF summary, or a shorter write-up. It is highly recommended that you contact one of the Program Directors for XC prior to submission of a full proposal exceeding $50,000.
_x000D_
Crosscutting Activities in Materials Research (XC) replaced the Office of Special Programs in Materials Research (OSP) in 2016.
_x000D_
Diversity:
_x000D_
_x000D_
Activitiesthat focus on broadening participation of underrepresented groups and/or diversity and inclusion are supported._x000D_
Supplements(e.g., CLB, AGEP-GRS, MPS-GRSV and ROAs) are handled by the cognizantProgram Director of the original award. See the Related Publications section below for more information._x000D_
XC supports Facilitation Awards for Scientists and Engineers with Disabilities (see Proposal   Award Policies   Procedures Guide, Chapter II.E.6 for details) https://www.nsf.gov/pubs/policydocs/pappg18_1/pappg_2.jsp#IIE6_x000D_
_x000D_
International:
_x000D_
_x000D_
In2016 a Dear Colleague Letter outlining collaborative projectswith Israel (BSF)was issued; it remains active until archived._x000D_
Submissionof full proposals with an international component may be made to thedisciplinary programs (but not to XC directly)._x000D_
Supplementsare handled by the cognizant Program Director of the original award._x000D_
Discontinuedin 2014: The previous International Materials Institutes (IMI)and Materials World Network (MWN) programs are no longer supported._x000D_
_x000D_
Education:
_x000D_
_x000D_
Innovativeand creative ideas in education (e.g., materials science and/or engineering, solid state and materials chemistry, condensed matterphysics, integrated computational materials science/engineering, ormaterials data science/analytics) that do not have a forum elsewhere at NSFare of interest._x000D_
XC encourages outreach and/or materials education proposals targeting underserved populations such as K-12students in rural communities and those designed to increase public scientific literacy._x000D_
_x000D_
Research Experiences for Undergraduates (REU)/ Research Experiences for Teachers (RET): reu.dmr@nsf.gov
_x000D_
_x000D_
XCcoordinates the REU and RET Sites activities within DMR. See theREU Site Solicitationfor deadlines and additional program information._x000D_
REU/RET supplements to research proposals are handled by the cognizant ProgramDirector of the original award._x000D_
</t>
  </si>
  <si>
    <t>Advanced Manufacturing</t>
  </si>
  <si>
    <t>The Advanced Manufacturing (AM) program supports the fundamental research needed to revitalize American manufacturing to grow the national prosperity and workforce, and to reshape our strategic industries. The AM program accelerates advances in manufacturing technologies with emphasis on multidisciplinary research that fundamentally alters and transforms manufacturing capabilities, methods and practices. Advanced manufacturing research proposals should address issues related to national prosperity and security, and advancing knowledge to sustain global leadership.
_x000D_
Areas of research, for example, include manufacturing systems; materials processing; manufacturing machines; methodologies; and manufacturing across the length scales. Researchers working in the areas of cybermanufacturing systems, manufacturing machines and equipment, materials engineering and processing, and nanomanufacturing are encouraged to transcend and cross domain boundaries. Interdisciplinary, convergent proposals are welcome that bring manufacturing to new application areas, and that incorporate challenges and approaches outside the customary manufacturing portfolio to broaden the impact of America s advanced manufacturing research.
_x000D_
Proposals of all sizes will therefore be considered as justified by the project description. Investigators are encouraged to discuss their ideas with AM program directors well in advance of submission at AdvancedManufacturing@nsf.gov.</t>
  </si>
  <si>
    <t>Operations Engineering</t>
  </si>
  <si>
    <t>The Operations Engineering (OE) program supports fundamental research on advanced analytical methods for improving operations in complex decision-driven environments. Analytical methods include, but are not limited to, deterministic and stochastic modeling, optimization, decision and risk analysis, data science, and simulation. Methodological research is highly encouraged but must be motivated by problems that have potential for high impact in engineering applications. Application domains of particular interest to the program arise in commercial enterprises (e.g., production/manufacturing systems and distribution of goods, delivery of services), the public sector/government (e.g., public safety and security), and public/private partnerships (e.g., health care, environment and energy). The program also welcomes operations research in new and emerging domains and addressing systemic societal or technological problems. The OE program particularly values cross-disciplinary proposals that leverage application-specific expertise with strong quantitative analysis in a decision-making context. Proposals for methodological research that are not strongly motivated by high-potential engineering applications are not appropriate for this program.
_x000D_
PIs are encouraged to send any program inquiries to both Program Directors.</t>
  </si>
  <si>
    <t>Engineering for Civil Infrastructure</t>
  </si>
  <si>
    <t>The Engineering for Civil Infrastructure (ECI) program supports fundamental research in geotechnical, structural, materials, architectural, and coastal engineering. The ECI program promotes research that can shape the future of the nation s physical civil infrastructure and that can contribute to climate change adaptation and mitigation, and hazards and disaster resilience. Types of civil infrastructure that the ECI program considers include, but are not limited to, buildings, residential construction, earth and earth retaining structures, and components of flood protection systems; water, waste disposal, and wastewater systems; energy infrastructure (excluding nuclear); and transportation systems (excluding pavements). Both disciplinary and convergent research that can address the challenges of physical civil infrastructure to be resilient and sustainable over its service lifetime are of particular interest. Broader impacts of ECI research include fostering community welfare for an equitable and prosperous nation and promoting environmentally friendly, circular economy policies.
_x000D_
The ECI program supports research that advances knowledge on the behavior of physical civil infrastructure subjected to and interacting with the natural environment during construction; under service and long-term conditions, including increased demands due to climate change adaptation and other emerging stressors; and under conditions caused by single or multiple extreme hazard events (extreme weather, windstorms, earthquakes, tsunamis, storm surges, landslides, and fire, including wildland-urban interface fire). The ECI program also supports research on geomaterials and infrastructure materials utilized in load-bearing systems as well as in non-structural systems. Of particular interest is experimental and analytical/computational research to advance the fundamental understanding of coupled multi-physics, multi-scale (spatial and temporal), multi-functional behavior of these materials and their intended use in civil infrastructure.
_x000D_
The ECI program supports research on civil infrastructure that contributes to the National Science Foundation s role in the National Earthquake Hazards Reduction Program (NEHRP) and the National Windstorm Impact Reduction Program (NWIRP). Principal Investigators are encouraged to leverage NSF s investments in the Natural Hazards Engineering Research Infrastructure (NHERI) experimental, computational modeling and simulation, and data resources (https://www.designsafe-ci.org/) in their research to accelerate advances needed for reducing the impacts of natural hazards on civil infrastructure. The NHERI Science Plan (https://www.designsafe-ci.org/facilities/nco/science-plan/) offers a range of research topics that could benefit from the use of NHERI resources and are relevant to the ECI program.
_x000D_
The ECI program does not support research that addresses natural resource exploration or recovery, investigates blasts and explosions, develops sensor and measurement technologies, or focuses on hazard characterization. The ECI program only supports fundamental research topics for civil infrastructure with a strong grounding in theory. Topics which fall within the mission for research and/or development of other federal and state agencies are appropriate for the ECI program only when addressing fundamental scientific questions. Research on natural hazard characterization is supported through programs in the NSF Directorate for Geosciences.
_x000D_
Proposers are actively encouraged to email a one-page project summary to the ECI Program Officers before submitting a full proposal for guidance on whether the proposed research topic falls within the scope of the ECI program; this guidance especially should be requested for multi-disciplinary research proposals, proposals for which research and/or development on the subject civil infrastructure(s) are also supported by other federal and state agencies, and proposals that consider civil infrastructure not listed above.</t>
  </si>
  <si>
    <t>Engineering Design and Systems Engineering</t>
  </si>
  <si>
    <t>The Engineering Design and Systems Engineering (EDSE) program supports fundamental research that advances design science and/or systems science through the creation of new knowledge about the design of engineered artifacts. Engineered artifacts include, but are not limited to, devices, products, processes, platforms, materials, organizations, systems, and systems of systems. The program focuses on design as a system, in which designers, the artifacts they create, the methods they use to create them, and the environment in which this occurs are all subject to rigorous scientific inquiry, along with the interactions among these elements.
_x000D_
The EDSE program strongly encourages proposals that embrace the multidisciplinary nature of design and supports well-defined collaborations of experts in design science and/or systems science with experts in other domains, including (but not limited to) the social, behavioral, computational, and natural (biological and physical) sciences. Competitive proposals will be firmly grounded in theory, will demonstrate the potential of the proposed work to improve design, and will include a plan to rigorously assess the performance and effectiveness of the proposed research methods across all domains involved.
_x000D_
In particular, the EDSE program supports fundamental contributions in areas that include but are not limited to design representation; design optimization; design validation; mechanism design; robotics and intelligent system design; design of engineered materials systems; design cognition; design collaboration; data science and artificial intelligence in design; design in under-resourced communities; immersive design; and design at extreme scales and in extreme environments. 
_x000D_
Prospective investigators are encouraged to discuss their research ideas with the Program Director in advance of proposal preparation and submission.</t>
  </si>
  <si>
    <t>Biomechanics and Mechanobiology</t>
  </si>
  <si>
    <t>The Biomechanics and Mechanobiology (BMMB) program is part of the Mechanics of Materials cluster within the Division of Civil, Mechanical, and Manufacturing Innovation.
_x000D_
The BMMB program supports fundamental and transformative research that advances our understanding of engineering biomechanics and/or mechanobiology. The program emphasizes the study of biological mechanics across multiple domains, from sub-cellular to whole organism. Distinct from conventional engineering materials, the program encourages the consideration of diverse living tissues as smart materials that are self-designing.
_x000D_
BMMB projects must have a clear biological component, a clear mechanics component, and must improve our understanding of the mechanical behavior of a living system. Investigations of the mechanical behavior of biological molecules, cells, tissues, and living systems are welcome. An important concern is the influence of in vivo mechanical forces on cell and matrix biology in the histomorphogenesis, maintenance, regeneration, repair, and aging of tissues and organs. The program is also interested in efforts to translate recent biomechanical and mechanobiological discoveries into engineering science.
_x000D_
Multiscale mechanics approaches are encouraged but not required. Projects may include theoretical, computational, or experimental approaches, or a combination thereof. NSF does not support clinical trials; however, feasibility studies involving human volunteers or animal subjects may be supported if appropriate to the scientific objectives of the project.
_x000D_
Proposals should address the novelty and/or potentially transformative nature of the proposed work compared to previous work in the field. Also, it is essential to address why the proposed work is important in terms of engineering science, and to state the potential impact of success in the research on society and/or industry.
_x000D_
Innovative proposals outside of these specific areas of biomechanics and mechanobiology will be considered. However, prior to submission of particularly unique topics, it is strongly recommended that Principal Investigators (PIs) contact the program director to discuss how the proposed work fits within the scope of the program and avoid the possibility of the proposal being returned without review.
_x000D_
Related programs also fund certain aspects of biomechanics and mechanobiology research, and PIs are encouraged to examine these to find the appropriate program for submission. Proposals with a heavy emphasis on tissue engineering or developing validated models of tissue and organ systems should consider the Engineering of Biomedical Systems (EBMS) program.Projects addressing biological questions about the physiological mechanisms and structural features of organisms should consult the Physiological Mechanisms   Biomechanics (PMB) program.Projects elucidating aspects of neural control may consider the Perception, Action,   Cognition (PAC) program or the Mind, Machine, and Motor Nexus (M3X) program if the project contains work relevant to human-machine interaction. Projects in rehabilitation engineering should consider the Disability and Rehabilitation Engineering (DARE) program. Projects focused on fundamental research related to design, characterization, and modification of biomaterials should consider the Biomaterials (BMAT) program. Manufacturing systems proposals should consider the Advanced Manufacturing (AM) program. Work on the interplay between structure, dynamics, and function of biomolecules without advancing our understanding of the mechanics of a living system should consider the Molecular Biophysics program. Researchers who believe their work may span multiple programs are particularly encouraged to contact the cognizant program directors well in advance of submission.
_x000D_
The duration of unsolicited proposal awards is generally up to three years; proposals for a shorter duration are welcome. Single-investigator award budgets typically include support for one graduate student (or equivalent trainee) and up to one month of PI time per year (awards for multiple investigator projects are typically larger). Proposal budgets or durations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t>
  </si>
  <si>
    <t>Mechanics of Materials and Structures</t>
  </si>
  <si>
    <t>The Mechanics of Materials and Structures program supports fundamental research in mechanics as related to the behavior of deformable solid materials and structures under internal and external actions. The program supports a diverse spectrum of research with emphasis on transformative advances in experimental, theoretical, and computational methods. Submitted proposals should clearly emphasize the contributions to the field of mechanics.
_x000D_
Proposals related to material response are welcome, including, but not limited to, advances in fundamental understanding of deformation, fracture, and fatigue as well as contact and friction. Proposals that relate to structural response are also welcome, including, but not limited to, advances in the understanding of nonlinear deformation, instability and collapse, and wave propagation. Proposals addressing mechanics at the intersection of materials and structures, such as, but not limited to, meta-materials, hierarchical, micro-architectured and low-dimensional materials are also encouraged.
_x000D_
Proposals that explore and build upon advanced computing techniques and tools to enable major advances in mechanics are particularly welcome. For example, proposals incorporating reduced-order modeling, data-driven techniques, and/or stochastic methods with a strong emphasis on validation are encouraged. Also welcome are proposals addressing data analytics for deformation or damage response deduction from large experimental and computational data sets. Similarly, proposals that explore new experimental techniques to capture deformation and failure information for extreme ranges of loading or material behavior are also encouraged. Finally, experimental and computational methods that address information across multiple length and time scales, potentially involving multiphysics considerations are also welcome.
_x000D_
Proposals with a focus on buildings and civil infrastructure system are welcome in CMMI and should be submitted to the program on Structural and Architectural Engineering Materials (SAEM). Proposals addressing processing and mechanical performance enhancements should be submitted to the Materials Engineering and Processing (MEP) program. Investigators with proposals focused on design methodological approaches and theory enabling the accelerated development and insertion of materials should consider the Design of Engineering Material Systems (DEMS) program. Lastly, investigators with interest in developing a combined theoretical and experimental approach to accelerate materials discovery and development should direct their proposals to the Designing Materials to Revolutionize and Engineer Our Future (DMREF) opportunity.
_x000D_
Proposers are actively encouraged to email a one-page project summary to MOMS@nsf.gov before full proposal submission to determine if the research topic falls within the scope of the MOMS program.</t>
  </si>
  <si>
    <t>Civil Infrastructure Systems</t>
  </si>
  <si>
    <t>The Civil Infrastructure Systems (CIS) program supports fundamental and innovative research in the design, operation and management of civil infrastructure that contributes to creating smart, sustainable and resilient communities at local, national and international scales. This program focuses on civil infrastructure as a system in which interactions between spatially- and functionally- distributed components and intersystem connections exist. All critical civil infrastructure systems are of interest, including transportation, power, water, pipelines and others.
_x000D_
The CIS program encourages potentially disruptive ideas that will open new frontiers and significantly broaden and transform relevant research communities. The program particularly welcomes research that addresses novel system and service design, system integration, big data analytics, and socio-technological-infrastructure connections. The program values diverse theoretical, scientific, mathematical, or computational contributions from a broad set of disciplines.
_x000D_
While component-level, subject-matter knowledge may be crucial in many research efforts, the program does not support research with a primary contribution pertaining to individual infrastructure components such as materials, sensor technology, extreme event analysis, human factors, climate modeling, structural, geotechnical, hydrologic or environmental engineering.</t>
  </si>
  <si>
    <t>Humans, Disasters, and the Built Environment</t>
  </si>
  <si>
    <t>The Humans, Disasters, and the Built Environment (HDBE) program supports fundamental, convergent research on how human activities and behaviors interact with the built environment to reduce or exacerbate the effects of natural hazards and disasters. The program foci are ongoing and emerging hazards to populations (individuals, households, businesses, organizations, and agencies) and built environments (critical infrastructures, physical and cyber spaces, and buildings). Successful proposals shall address all three elements (i.e., humans, disasters, and the built environment) and have the potential to contribute to theories or insights that hold over a broad range of scales, conditions, and sectors. Research funded through this program is expected to build a deeper understanding of human behaviors at the interface of engineering and society and inform how communities manage their risk and adapt to changing patterns in climate, extreme weather, and other hazards.
_x000D_
Given the richness of the phenomena under study, the HDBE program seeks research that advances foundational theories, methods, and data within and across diverse disciplines such as engineering, social sciences, natural sciences, computing, or other relevant fields. Interdisciplinary proposals are common.
_x000D_
Proposals aimed to make methodological contributions to advance disaster-relevant research are also of interest to the program. Examples include methods and tools for the translation of engineering solutions (mitigation and adaptation) for the built environment to community or national scale investments, practices, and policies; techniques to examine the interactions of humans and the built environment resulting from simultaneous or compounding risk of natural disasters and pandemics; and protocols, methodologies, and tools tailored for handling sensitive, protected, and proprietary data relevant to disasters.
_x000D_
Investigators are encouraged to take advantage of NSF s investments in the Natural Hazards Engineering Research Infrastructure (NHERI) on experimental testing, computational modeling and simulation, interdisciplinary training and networks, and data sharing, integration, and analysis. Research that addresses multiple dimensions of social equity, vulnerability, and environmental justice is particularly encouraged.
_x000D_
Proposers are actively encouraged to email a one-page project summary to the HDBE Program Officer before submitting a full proposal for guidance on whether the proposed research topic falls within the scope of the HDBE program and/or co-review might be appropriate.</t>
  </si>
  <si>
    <t>The USAID Global Health Broad Agency Announcement for Research and Development (2018)</t>
  </si>
  <si>
    <t xml:space="preserve">This Broad Agency Announcement (BAA) seeks opportunities to co-create, co-design, co-invest, and collaborate in the research, development, piloting, testing, and scaling of innovative, practical and cost-effective interventions to address the most pressing problems in global health. The United States Agency for International Development (USAID) invites organizations and companies to participate with USAID, in cooperation with its partners, to generate novel tools and approaches that accelerate and sustain improved health outcomes in developing countries. 
PROBLEM: The global community has made great strides in reducing mortality around the world over the last 50 years, but progress in developing countries lags far behind that seen in developed countries. Every year an estimated 303,000 women die during pregnancy and childbirth, 5.9 million children die, and an even greater number become infected with life-threatening diseases like HIV/AIDS, malaria, diarrhea, pneumonia, and TB, among others. The vast majority of deaths due to these largely preventable causes occur in developing countries where access to health services is often poor. Outbreaks of emerging infectious diseases like Ebola and Zika only serve to further compound these health challenges, taxing already stressed health systems and elevating the risk of disease epidemics of global proportions. 
CHALLENGE: Harness the power of science, technology, and innovation to generate new knowledge, tools, and approaches that can reduce developing country mortality down to the levels of more developed countries within a generation. USAID and partners will work to rapidly implement solutions and create an environment for sustainability, scalability, and ultimately health impact. 
 A Broad Agency Announcement is a 2 step process:  
Step 1: The issuance of the BAA: A BAA document provides general information about an area of interest that USAID would like to explore. This particular BAA document discusses areas of interest specific to Research and Development for Global Health. Interested parties can not submit â€œExpressions of Interest (EOI)â€ to this BAA document, as this announcement is not a funding opportunity. See below (Step 2) for additional information about funding opportunities related to this BAA.  
Step 2: The issuance of an Addendum: Once a particular area of interest has been identified by USAID, an Addendum is created and provides the following: (1) specific information regarding criteria, (2) eligibility and application requirements, (3) applicable deadlines, and (4) an Addendum-specific Point of Contact (POC). Monitor the following sites for Addenda to this BAA: Grants.gov and FedBizOpps. 
</t>
  </si>
  <si>
    <t>RISE II HEALTH SERVICES DELIVERY ACTIVITY</t>
  </si>
  <si>
    <t>Others (see text field entitled "Additional Information on Eligibility" for clarification) This is an RFI.</t>
  </si>
  <si>
    <t>This is a Request for Information (RFI) Notice requesting comments to the draft Program Description (PD) below for the USAID/Senegal, Sahel Regional Officeâ€™s (SRO) RISE II Health Services Delivery (HSD) Activity. The purpose of this RFI is to obtain feedback from stakeholders prior to SRO potentially issuing a Notice of Funding Opportunity (NOFO) Announcement. This RFI is not a Request for Application (RFA). Therefore, USAID/Senegal is not accepting applications at this time.  
Please provide no more than 4 pages of comments no later than June 15, 2018 through email to sahelregional@usaid.gov. 
Responses/comments received from this RFI may be used for planning purposes. Responding to this RFI will not give any advantage to any potential applicant in any subsequent procurement and will not lead to an organizational conflict of interest. You may receive an electronic confirmation acknowledging receipt of your response. 
USAID will hold a Pre-Solicitation Conference on June 04, 2018 at the U.S. Embassy in Dakar from 12:30 to 15:00 local time (GMT). For convenience, another alternate site for participation through VTC may be provided in the Washington, D.C. area.</t>
  </si>
  <si>
    <t xml:space="preserve">Augmenting Capacity for Humanitarian Emergencies of Infectious Diseases </t>
  </si>
  <si>
    <t>The overall scope, goal  of the program(s) to be funded under the award(s) resulting from this APS includes: establishing standby capacity by strengthening and augmenting preparedness and readiness of and between potential responders from national and/or international NGOs organizations, PIOs, academic and private institutions, improving technical capacity and coordination for an integrated, effective multi-sectoral response to an infectious disease outbreak that becomes humanitarian emergency.  Applicants should build internal mechanisms to improve their institutional capacity to rapidly deploy in response to an infectious disease outbreak that becomes a humanitarian emergency, support organizational capacity to augment or pivot response efforts to keep up with changing needs, and/or to provide support to coordination L3 responses that includes actors from multiple agencies or sectors (i.e. Health, Nutrition, WASH, Agriculture and Food Security, Protection).  USAID/OFDA recognizes other ongoing capacity building initiatives supported by other donors that are focused on governments; this APS is specifically focused on building non-governmental capacity in the humanitarian aid community.</t>
  </si>
  <si>
    <t>Tunisia Resilience and Community Empowerment (TRACE)</t>
  </si>
  <si>
    <t>USAID-MERP</t>
  </si>
  <si>
    <t>Middle East Regional Platform USAID-MERP</t>
  </si>
  <si>
    <t>USAID/Tunisia intends to issue a notice of funding opportunity to solicit applications to implement the activity entitled â€œTunisia Resilience and Community Empowermentâ€ (TRACE).  The anticipated award will be  a five-year cooperative agreement.  Subject to the availability of funds, USAID may  provide up to $49.7 million in total USAID funding to be allocated over five years.</t>
  </si>
  <si>
    <t xml:space="preserve">EONS 2018: Appendix E Minority University Research and Education Project (MUREP) for Sustainability and Innovation Collaborative   (MUSIC) </t>
  </si>
  <si>
    <t>Unrestricted (i.e., open to any type of entity above), subject to any clarification in text field entitled "Additional Information on Eligibility" Minority Serving Institutions (MSIs), Non-profit Organizations with missions to support MSIs</t>
  </si>
  <si>
    <t xml:space="preserve">Awards will be made as cooperative agreements to accredited Minority Serving Institutions (MSIs) partnered with non-profit organizations in the United States that are eligible to apply for this NASA Research Announcement (NRA). The period of performance for an award is up to 2 years. Prospective proposers are requested to submit any questions in writing to NASAMUSIC@nasaprs.com no later than 10 business days before the proposal due date so that NASA will have sufficient time to respond. Proposers to this NRA are required to have the following, no later than the due date: 1) a Data Universal Numbering System (DUNS) number, _x000D_
2) a valid registration with the System for Award Management (SAM) [formerly known as the Central Contractor Registry (CCR)], 3) a valid Commercial And Government Entity (CAGE) Code, 4) a valid registration with NASA Solicitation and Proposal Integrated Review and Evaluation System (NSPIRES) (this also applies to any entities proposed for sub-awards or subcontracts.) Consult Appendix H Section H.3.1 for more eligibility information. _x000D_
Consult Appendix H Section 2.2 regarding teaming requirements and partnership guidelines._x000D_
The goal of NASA MUSIC is: to provide strategic effort that will leverage research and contract relationships of MSIs and NASA through relationships developed by non-profit organizations that may include collaboration of subject matter experts and access to NASA research facilities; An effort to improve STEM education and research at MSIs; A funded activity that seeks to build institutional capacity of MSIs; An activity to support long-term sustainability of STEM research at MSIs. MUSIC seeks to address the agency goals and objectives through:  Increasing the institutional awareness of NASA competitive resources that can build the capacity of MSIs to offer and conduct STEM undergraduate and graduate research with a focus on NASA opportunities. Assembling MSIs and their stakeholders with common interests, and challenges then provide common tools for MSIs to increase efficiency and optimize resources including opportunities to develop formal and informal partnerships. Connecting MSI administrators and university STEM leaders to cutting-edge initiatives at NASA that can increase interest in securing research and contracting opportunities while supporting NASAâ€™s policy to achieve an Agency-wide goal of providing one percent of total contract value of prime and subcontracting awards to MSIs.     https://www.hq.nasa.gov/office/procurement/regs/1826.htm_x000D_
To achieve these goals, MUSIC seeks to increase university program capacity about practical uses of research to drive institution sustainability through the following targets:  Advance the understanding of MSIs on how to effectively develop institutional administrative support by competing at the university level for funding opportunities, which will result in successful application to, and management of these funding opportunities (including those at NASA).  Extend MSIâ€™s capabilities by: A.   Leveraging the MSIs research capabilities with NASA research to develop Small Business Innovation Research (SBIR) and Small Business Technology Transfer (STTR) projects that develop and demonstrate innovative technologies that fulfill NASA needs and have significant potential for successful commercialization. B.  Increasing the preparation of undergraduate and graduate science, technology, engineering, and mathematics faculty with opportunities to participate with NASA researchers and missions through grants and contracts. To achieve these goals and objectives, NASA solicits proposals from MSIs to implement the NASA MUSIC; to engage MSIs in authentic STEM experiences related to NASA missions; and to inspire and captivate learners utilizing NASAâ€™s unique assets to develop a keen interest in STEM. Every institution that intends to submit a proposal to this NRA, including the proposed prime award or any partner whether an education institution, other non-profit institutions, and other organizations that will serve as sub-awardees or contractors, must be registered in NSPIRES. Electronic submission of proposals is required by the due date and must be submitted by an authorized official of the proposing organization. Such registration must identify the authorized organizational representative(s) who will submit the electronic proposal. All principal investigators and other participants (e.g. co-investigators) must be registered in NSPIRES regardless of submission system. Potential proposers and proposing organizations are urged to access the system(s) well in advance of the proposal due date(s) of interest to familiarize themselves with its structure and enter the requested information. Electronic proposals may be submitted via the NASA proposal data system NSPIRES or via Grants.gov. Organizations that intend to submit proposals via Grants.gov must be registered 1) with Grants.gov and 2) with NSPIRES.  Additional programmatic information for this NRA may develop before the proposal due date. If so, such information will be added as a Frequently Asked Question (FAQ) or formal amendment to this NRA and posted on http://nspires.nasaprs.com. It is the proposerâ€™s responsibility to regularly check NSPIRES for updates to this NRA. _x000D_
</t>
  </si>
  <si>
    <t>Gaza Household WASH Activity (GHW)</t>
  </si>
  <si>
    <t xml:space="preserve">Others (see text field entitled "Additional Information on Eligibility" for clarification) Qualified U.S. and non-U.S. Non-Governmental Organizations (NGOs), U.S. Private Voluntary Organizations (PVOs), and U.S. and non-U.S. for profit firms may participate in this funding opportunity. </t>
  </si>
  <si>
    <t xml:space="preserve">USAIDâ€™s West Bank and Gaza Mission (USAID/WBG) is issuing this Funding Opportunity to solicit applications for  Gaza Household WASH (GHW), a three-year Activity. The goal of Gaza Household WASH Activity (GHW) is to improve human health, environmental health, and livelihoods in vulnerable communities by increasing access to facilities and services for safe domestic water and improved sanitation.  _x000D_
_x000D_
The activity intends to address the following priorities in Gaza that align with the Coastal Municipalities Water Utility (CMWU) and OCHAâ€™s Humanitarian Rapid Response Plan (2018-2020): _x000D_
_x000D_
1. The provision of durable solutions to vulnerable communities, such as the establishment, extension or rehabilitation of water distribution networks and sanitation systems at the household and neighborhood levels._x000D_
2. Increase emergency WASH preparedness interventions to mitigate and reduce rainwater and sewage flooding risks in vulnerable communities._x000D_
_x000D_
The geographic focus of  all interventions will be in Gaza, and to the extent possible, in the Access Restricted Areas (ARAs), flood-prone areas, and areas exposed to environmental health risks in Gaza. </t>
  </si>
  <si>
    <t>Resilience in the Sahel Enhanced (RISE) II Technical Approach Working Paper</t>
  </si>
  <si>
    <t>Others (see text field entitled "Additional Information on Eligibility" for clarification) N/A - Request for Information</t>
  </si>
  <si>
    <t>This working paper is meant to provide information on the strategic and technical approach USAID intends to use for RISE II.  USAID retains the right to change its strategic or technical approach at any time without notification.  This paper is a reference document that contains useful information for applicants seeking funding under RISE II, as well as for others who wish to partner with USAID, or better understand USAIDâ€™s approach.  It is not a solicitation document.  Organizations interested in obtaining funding from USAID are advised to monitor Grants.gov: https://www.grants.gov/ and FedBizOpps.gov: https://www.fbo.gov/ for funding opportunities.  This is a draft document.  Updated versions may be posted on the USAID/SRO website or released in conjunction with future solicitations.  Any new version will be dated with its release date.  Comments or questions on this document should be directed to asadiq@usaid.gov and pasmith@usaid.gov with the header â€œResponse to RISE II Technical Approach.â€ USAID makes no guarantee to respond to questions or comments, but may use them to inform future revisions. This is an RFI notice issued in accordance with FAR 15.201(e), and is not intended to procure goods or services.  Responses to this notice are not offers and cannot be accepted by the Government to form a binding contract.  Responses/comments received from this RFI may be used for planning purposes.  Responding to this RFI will not give any advantage to any firm or organization in any subsequent procurement and will not lead to an organizational conflict of interest.  You will receive an electronic confirmation acknowledging receipt of your response. In accordance with Federal Acquisition Regulation 15.209(c), the following clause is incorporated into this RFI: â€œFAR 52.215-3 REQUEST FOR INFORMATION OR SOLICITATION FOR PLANNING PURPOSES (OCT 1997) (a) The Government does not intend to award a contract on the basis of this solicitation or to otherwise pay for the information solicited except as an allowable cost under other contracts as provided in subsection 31.205-18, Bid and proposal costs, of the Federal Acquisition Regulation.  (b) Although â€œproposalâ€ and â€œofferorâ€ are used in this Request for Information, your response will be treated as information only.  It shall not be used as a proposal.  (c) This solicitation is issued for the purpose of gathering comments on the draft RISE II technical approach.â€</t>
  </si>
  <si>
    <t>Responding to Pakistan s Internally Displaced (RAPID) III</t>
  </si>
  <si>
    <t>The United States Agency for International Development (USAID) is seeking applications for a cooperative agreement from qualified U.S. and Non-U.S. organizations to fund a program entitled Responding to Pakistanâ€™s Internally Displaced III (RAPID III). Eligibility for this award is restricted to Section C of this Notice of Funding Opportunity (NFO) for eligibility requirements.Subject to the availability of funds an award will be made to that responsible applicant(s) whose application(s) best meets the objectives of this funding opportunity and the selection criteria contained herein. While one award is anticipated as a result of this NFO, USAID reserves the right to fund one or more or none of the applications submitted.</t>
  </si>
  <si>
    <t>APS-OAA-16-000001 Addendum COLOMBIA</t>
  </si>
  <si>
    <t>USAID-COL</t>
  </si>
  <si>
    <t>Colombia USAID-Bogota</t>
  </si>
  <si>
    <t xml:space="preserve">Others (see text field entitled "Additional Information on Eligibility" for clarification) Eligible organizations interested in submitting a Concept Paper are required to carefully read this APS addendum as well as the full GDA APS announcement, which can be found at: https://www.usaid.gov/gda/global-development-alliance-annual-program. Reading those materials is essential to understanding the type of GDA alliance sought, concept paper submission requirements and the review and evaluation process.  Eligibility is discussed in Section VIII of the GDA APS and Section II of this addendum. </t>
  </si>
  <si>
    <t xml:space="preserve">The United States Agency for International Development (USAID) Mission in Colombia is making a special call for the submission of Concept Papers focused on leveraging private sector investment and expertise that results in enhance sustainable and inclusive development in Colombiaâ€™s conflict-affected areas._x000D_
_x000D_
Subject to the availability of funds, USAID/Colombia may allocate up to $10,000,000 to fund a portfolio of GDA alliances with the private sector, with funding for individual applications estimated in the range of $1,500,000 to $5,000,000 to be implemented over a period of 3-5 years through 2 to 3 awards, depending on the approach of each individual application. _x000D_
</t>
  </si>
  <si>
    <t>Infectious Disease (with Epidemic or Pandemic potential) Standby Capacity for Humanitarian Emergency APS</t>
  </si>
  <si>
    <t xml:space="preserve">The purpose of this notice is to announce an upcoming Annual Program Statement (APS) for the Infectious Disease (with Epidemic or Pandemic potential) (IDAP Standby Capacity with the scale of a Humanitarian Emergency. This only applies to Infectious Disease events that require activation of a Level 3 IASC. This new Standby Capacity project will address critical multi-sectoral capacity gaps of response actors needed to maintain technical and operational readiness. This may include activities such as (but not limited to) contingency planning, the development of adaptation of toolkits, training or technical guidance, rapid response teams and coordination, to ensure rapid response to infectious diseases outbreaks with epidemics or pandemic potential that reach the scale of a humanitarian emergency (Level 3 IASC activation for an infectious disease event) and that have been declared a Public Health Emergency (PHEIC) of International Concern (or are the equivalent of a PHEIC).  _x000D_
_x000D_
Questions concerning this notice may be directed to the Agreement Officer, at SOLOFDA1788@ofda.gov. USAID may issue a â€œRequest for Informationâ€ before the APS is released. However, please be advised that substantive questions with respect to the APS will not be answered until the APS is released, at which point all applicants will be allowed to submit questions that will be answered in a â€œQ&amp;Aâ€ document, which will be posted to the APS as an amendment. Prospective applicants may not contact USAID technical staff directly for information on this APS â€“ such contact may be grounds for exclusion from the competition. This notice in no way obligates USAID to release a solicitation or award. Issuance of an APS will be subject to internal USAID approvals and the availability of funds. Due to the competitive nature of the procurement, unsolicited applications will not be considered. All applications have to be submitted in response to the APS. </t>
  </si>
  <si>
    <t>Marine Geology and Geophysics</t>
  </si>
  <si>
    <t>The Marine Geology and Geophysics Core Program supports research on all aspects of the geology and geophysics of the present ocean basins and margins, as well as those of the Great Lakes.
The Program supports science that includes:
Structure, composition, tectonics, and evolution of the oceanic lithosphere
Paleoceanography, paleoclimate, and sea level change
Submarine volcanology, petrology and geochemistry of the oceanic crust and upper mantle lithosphere
Marine hydrogeology, water-rock interaction, seeps and gas hydrates
Hydrothermal venting and in situ fluid processes, and associated geochemistry
Geochemical indicators of life operating below the seafloor
Marine sedimentology, stratigraphy, sediment transport, and diagenesis
Mid-ocean ridge spreading, back-arc rifting, transform processes, and ocean island/seamount formation and evolution
Submarine components of subduction zone systems and passive margins
Marine geohazards (e.g., earthquakes, faulting, mass wasting, geological aspects of tsunamis)
Coastal processes (e.g., geological aspects of hurricanes, sea-level change, erosion, offshore deposition)
The Marine Geology and Geophysics Program supports acquisition of new field data and the leveraging of and/or synthesis of existing data. The program supports analytical and laboratory experimental projects, methods development, and modeling. All activities should have relevance to and advance the understanding of marine geoscience processes. The Program interfaces with NSF programs across the Geosciences and across the Agency. For proposals that cross between Programs, proposers should contact the relevant Programs to seek guidance on submission.</t>
  </si>
  <si>
    <t>Partnering for Impact in Guinea</t>
  </si>
  <si>
    <t>Others (see text field entitled "Additional Information on Eligibility" for clarification) Qualified Local Non-U.S. Non-Governmental Organizations (NGOs), Non U.S. Local Private Voluntary Organizations (PVOs).</t>
  </si>
  <si>
    <t xml:space="preserve">This Annual Program Statement (APS) is designed to describe and provide a process through which organizations can work with USAID/Guinea and the private sector and/or Non U.S. Non-Governmental Organization to build an Alliance that: a)  address important business or community interests and objectives, b)  advance USAIDâ€™s strategic priorities and objectives; andc)  achieve sustainable development outcomes, results and impact.  This Annual Program Statement also provides an opportunity for organizations to receive an award of USAID funding to support activity implementation developed through this Annual Program Statement. </t>
  </si>
  <si>
    <t>Alaska Sea Grant State Fellowship Program</t>
  </si>
  <si>
    <t>Others (see text field entitled "Additional Information on Eligibility" for clarification) Non-Competitive Cooperative Agreement</t>
  </si>
  <si>
    <t>Non-Competitive Cooperative Agreement</t>
  </si>
  <si>
    <t>Sri Lanka Civil Society Program</t>
  </si>
  <si>
    <t>USAID-SRI</t>
  </si>
  <si>
    <t>Sri Lanka USAID-Colombo</t>
  </si>
  <si>
    <t>Others (see text field entitled "Additional Information on Eligibility" for clarification) Qualified U.S. and non-U.S. Non-Governmental Organizations (NGOs), U.S. Private Voluntary Organizations (PVOs), and U.S. and non-U.S. for profit firms (provided they forgo profit) may participate in this funding opportunity.</t>
  </si>
  <si>
    <t>USAID requests that civil society sector professionals and institutions provide information and recommendations for a more effective project design.The request for information shall address the following:â—	Do the components identified respond to the development needs of Sri Lankaâ€™s civil society sector?â—	In addition to what has already been identified, what other types of assistance are needed to strengthen and support civil society in Sri Lankaâ€™s current social-political context?â—	What high-level results can be achieved through this program? â—	Suggestions to improve proposed goals and objectives. â—	What key issues and policies should civil society focus on to advance transparency, accountability and good governance and why?  What mechanisms should be used to address these issues and policies?  â—	What consortiums would be effective in addressing transparency, accountability, and good governance?â—	What do you envision as opportunities for financial viability and sustainability of CSOs?Please limit your responses to a maximum of three pages.Responses regarding this Request for Information (RFI) are to be submitted in writing to: Mr. Harsha Kaluarachchi, Acquisition and Assistance Specialist at srilankaprocurement@usaid.gov with copies to the attention of Mr. Robert Parnell, Contracting Officer at rparnell@usaid.gov, by March 23, 2016 at 1700 (Colombo time)</t>
  </si>
  <si>
    <t>NRL WIDE BROAD AGENCY ANNOUNCEMENT</t>
  </si>
  <si>
    <t>The Naval Research Laboratory (NRL) is the Navy's corporate laboratory.  NRL conducts basic and applied research for the Navy in a variety of scientific and technical disciplines.  The basic research program is driven by perceptions about future requirements of the Navy.</t>
  </si>
  <si>
    <t>U.S. Mission Australia Annual Program Statement</t>
  </si>
  <si>
    <t>DOS-AUS</t>
  </si>
  <si>
    <t>U.S. Mission to Australia</t>
  </si>
  <si>
    <t>Others (see text field entitled "Additional Information on Eligibility" for clarification) Applications are encouraged from a variety of individuals and organizations, including but not limited to: non-governmental/civil society organizations, think tanks, educational institutions or subsets thereof, and non-profit organizations.  Prior programmatic experience is desired, along with experience managing budgets.</t>
  </si>
  <si>
    <t xml:space="preserve">Proposals should be submitted via email to the Public Affairs Section of the U.S. Embassy: PASGrantsAustralia@state.gov. _x000D_
_x000D_
Post's grant proposal forms can be found at the link below. Please include as many specific details as possible, including a project timeline and a description of how the U.S. Embassy would be involved and acknowledged in conjunction with the project.  Please include a detailed budget, as well as information about cost sharing by other entities._x000D_
</t>
  </si>
  <si>
    <t>Air Force Defense Research Sciences Conference and Workshop Support</t>
  </si>
  <si>
    <t>Nonprofits having a 501(c)(3) status with the IRS, other than institutions of higher education Only some organizations are eligible to submit proposals for conference or workshop support. We can consider conference or workshop funding requests from U.S. institutions of higher education (IHE) or nonprofit organizations as described in 2 CFR 25.345, including foreign public entities and foreign organizations operated primarily for scientific, educational, service, charitable, or similar purposes in the public interest. Conference or workshop funding support is not available to commercial organizations. DoD Instruction 5410.20,  Public Affairs Relations with Business and Nongovernmental Organizations Representing Business  prohibits co-sponsorship of conferences and workshops with commercial concerns.</t>
  </si>
  <si>
    <t>The Air Force Office of Scientific Research manages the basic research investment for the U.S. Air Force. Conferences and workshops constitute key forums for research and technology interchange. We provide partial support for conferences and workshops as defined in the DoD Joint Travel Regulations in special areas of science that bring experts together to discuss recent research or educational findings, or to expose other researchers or advanced graduate students to new research and educational techniques in our areas of research interest. Our research interests are described in the most recent version of our general Broad Agency Announcement titled, â€œResearch Interests of the Air Force Office of Scientific Researchâ€ posted on Grants.gov. We can only consider funding requests from U.S. institutions of higher education (IHE) or nonprofit organizations as described in 2 CFR 25.345, including foreign public entities and foreign organizations operated primarily for scientific, educational, service, charitable, or similar purposes in the public interest. We do not award grants to organizations with a for-profit organization type. Our support for a workshop or conference is not an endorsement of any organization.Our financial support through grants for conferences and workshops is dependent on the availability of funds, Program Officerâ€™s discretion, and certain other restrictions as described in the full announcement.</t>
  </si>
  <si>
    <t>R Package Development and Data Certification for the National Park Service Units of the National Capital Region and the Northeast</t>
  </si>
  <si>
    <t>The objective of this Agreement is to advance historic preservation at the local level by establishing a task agreement between the National Park Service and the National Alliance of Preservation Commissions (NAPC) to provide training opportunities, promote the Federal Certified Local Government program, and strengthen local preservation commissions by providing bi-annual State Certified Local Government Coordinator Training</t>
  </si>
  <si>
    <t xml:space="preserve">Pre-solicitation Notice - Moderate Voices of Peace </t>
  </si>
  <si>
    <t xml:space="preserve">Others (see text field entitled "Additional Information on Eligibility" for clarification) U.S. or non-U.S. Non-governmental organizations (NGOs), private voluntary organizations (PVOs), for-profit companies willing to forego profit, colleges and universities, and Public International Organizations (PIOs) are eligible to submit applications. Faith-based and community organizations that fit the criteria above are also eligible to apply. _x000D_
_x000D_
U.S. or non-U.S. Non-governmental organizations (NGOs), private voluntary organizations (PVOs), for-profit companies willing to forego profit, colleges and universities, and Public International Organizations are eligible to submit applications. Faith-based and community organizations that fit the criteria above are also eligible to apply. _x000D_
_x000D_
Applicant(s) must have established financial management, monitoring and evaluation, internal control systems, and policies and procedures that comply with established U.S. Government standards, laws, and regulations. All potential awardees will be subject to a responsibility determination (may include a pre-award survey) issued by a warranted Agreement Officer in USAID. _x000D_
</t>
  </si>
  <si>
    <t xml:space="preserve">This is a pre-funding opportunity announcement only. No applications are requested at this time. Please hold all questions/requests for information as they will not be responded to until the full announcement (RFA) is issued. This notice in no way obligates USAID to release a solicitation or award. Issuance of a RFA will be subject to internal USAID approvals and the availability of funds. The request is expected to be available for the public in the next few weeks. Due to the competitive nature of the procurement, unsolicited applications will not be considered. All applications have to be submitted in response to the RFA. _x000D_
_x000D_
USAID/West Africa anticipates awarding a five-year cooperative agreement (CA)  for a messaging and communications project to counter violent extremism and promote democracy, human rights and governance in West Africa. The project will aim to amplify moderate voices of peace and tolerance as part of a broader effort to reduce vulnerability to violent extremism in the Sahel. The project will seek to achieve this goal by: 1) strengthening positive local narratives; 2) increasing dialogue and exchange on CVE and peace concepts; 3) expanding access to information; 4) promoting citizen/government dialogue, and; 5) enhancing regional collaboration among media actors.  Learning from interventions, communities, and events and adapting new approaches based on that learning will be a critical aspect of the 5-year effort.  The approach of the project will blend media-development approaches with strategic communications and behavior change programming, leveraging both new and traditional media to reach populations most at risk to violent extremism in West Africa.  The geographic focus of the project will initially include Burkina Faso, Chad and Niger, with a planned expansion to Cameroon in the fall of 2017.  However, this project will have built-in flexibility to modify its geographic targets, messaging and scope in order to adapt and respond to fluid security situations and continuously changing VEO narratives.  _x000D_
_x000D_
Dun and Bradstreet Universal Numbering System (DUNS) Number and System for Award Management (SAM) _x000D_
_x000D_
Please be advised that each applicant (unless the applicant is an individual or Federal awarding agency that is excepted from those requirements under 2 CFR Â§25.110(b) or (c), or has an exception approved by the Federal awarding agency under 2 CFR Â§25.110(d)) is required to: be registered in SAM before submitting its application; provide a valid DUNS number in its application; and continue to maintain an active SAM registration with current information at all times during which it has an active Federal award or an application or plan under consideration by a Federal awarding agency. The Federal awarding agency may not make a Federal award to an applicant until the applicant has complied with all applicable DUNS and SAM requirements and, if an applicant has not fully complied with the requirements by the time the Federal awarding agency is ready to make a Federal award._x000D_
</t>
  </si>
  <si>
    <t>RFI - DOE Infrastructure Work Scope Development</t>
  </si>
  <si>
    <t>DOE is seeking information, comments, feedback, and recommendations from interested parties to determine what capabilities supporting research, training and technology demonstration are of highest interest to the nuclear energy research community.All responses are to be made at NEUP.gov per the attached instructions.</t>
  </si>
  <si>
    <t>RFI - DOE R</t>
  </si>
  <si>
    <t>University, National Laboratory, Industry, and International Entities Input to the Office of Nuclear Energyâ€™s Competitive Research and Development Work Scope Development - DOE is seeking ideas in the areas of research, information, comments, feedback, and recommendations from interested parties for future work scopes for the major NE-funded research programs. All responses are to be made at NEUP.gov per the attached instructions.</t>
  </si>
  <si>
    <t>Others (see text field entitled "Additional Information on Eligibility" for clarification) Agricultural Producers</t>
  </si>
  <si>
    <t>REAP Renewable Energy Systems and Energy Efficiency Improvement Program._x000D_
_x000D_
Refer to Application Package AND Application Instruction links to obtain all necessary forms for a complete application._x000D_
_x000D_
Contact State Energy Coordinators with questions: http://www.rd.usda.gov/files/RBS_StateEnergyCoordinators.pdf</t>
  </si>
  <si>
    <t>Developing Methodologies for Coastal Impacts Associated with Climate Variability</t>
  </si>
  <si>
    <t>Others (see text field entitled "Additional Information on Eligibility" for clarification) See attached Notice of Intent</t>
  </si>
  <si>
    <t>See attached Notice of Intent</t>
  </si>
  <si>
    <t>Feed the Future Asia Innovative Farmers Activity</t>
  </si>
  <si>
    <t>USAID-THA</t>
  </si>
  <si>
    <t>Thailand USAID-Bangkok</t>
  </si>
  <si>
    <t xml:space="preserve">Others (see text field entitled "Additional Information on Eligibility" for clarification) Interested organizations should successfully demonstrate their capability and capacity to implement activities in the Asia region. U.S. and non-U.S. NGOs, are eligible to submit applications. For the purposes of this solicitation, NGOs include any incorporated entity, either non-profit or for-profit, other than a governmental organization. Please note that USAID policy is not to award profit under assistance instruments.  </t>
  </si>
  <si>
    <t xml:space="preserve">This is a pre-funding opportunity announcement only. No applications are requested at this time._x000D_
_x000D_
Please hold all questions/requests for information as they will not be responded to until the full announcement (RFA) is issued._x000D_
_x000D_
This notice in no way obligates USAID to release a solicitation or award. Issuance of a RFA will be subject to internal USAID approvals and the availability of funds. The request is expected to be available for the public in the next few weeks. Due to the competitive nature of the procurement, unsolicited applications will not be considered. All applications have to be submitted in response to the RFA._x000D_
_x000D_
USAID/RDMA anticipates awarding a five-year cooperative agreement (CA) to facilitate agricultural technology diffusion in Asia.  The CA will support an organization, or consortium of organizations with one legal entity as primary lead, to catalyze the transfer of scalable technology across the South and Southeast Asia regions, with a particular focus on Feed the Future (FTF) focus countries Bangladesh, Cambodia, and Nepal._x000D_
_x000D_
The program will consist of four components:_x000D_
1. The first component will be horticulture. The Recipient will identify a compelling regional horticultural problem, for which effective solutions can be explored through technology innovation and diffusion, preferably in partnership with regional private sector and/or academic partners. _x000D_
2. The second component, with conditions similar to the above, will be aquaculture. The aquaculture interventions should aim to improve the sustainability of production. _x000D_
3.The third component reflects USAID/RDMAâ€™s overarching vision for the activity, and will require the Recipient to develop and deliver an approach for identifying and implementing interventions addressing important regional agriculture or food security problems, through broad engagement with relevant stakeholders across the region._x000D_
4. The fourth component will be dynamic and flexible and will respond to the specific requests of the bilateral USAID FTF missions for support in addressing a problem through transferred technology. This component will be primarily bilateral mission initiated, designed, and funded._x000D_
	_x000D_
Dun and Bradstreet Universal Numbering System (DUNS) Number and System for Award Management (SAM)_x000D_
_x000D_
Please be advised that each applicant (unless the applicant is an individual or Federal awarding agency that is excepted from those requirements under 2 CFR Â§25.110(b) or (c), or has an exception approved by the Federal awarding agency under 2 CFR Â§25.110(d)) is required to: be registered in SAM before submitting its application;  provide a valid DUNS number in its application; and continue to maintain an active SAM registration with current information at all times during which it has an active Federal award or an application or plan under consideration by a Federal awarding agency. The Federal awarding agency may not make a Federal award to an applicant until the applicant has complied with all applicable DUNS and SAM requirements and, if an applicant has not fully complied with the requirements by the time the Federal awarding agency is ready to make a Federal award._x000D_
</t>
  </si>
  <si>
    <t>Physical Oceanography</t>
  </si>
  <si>
    <t>The Physical Oceanography Program supports research on a wide range of topics associated with the structure and movement of the ocean, with the way in which it transports various quantities, with the way the ocean's physical structure interacts with the biological and chemical processes within it, and with interactions between the ocean and the atmosphere, solid earth and ice that surround it.</t>
  </si>
  <si>
    <t>Chemical Oceanography</t>
  </si>
  <si>
    <t>TheChemical OceanographyProgram supports research into the chemistry of the oceans and the role of the oceans in global geochemical cycles. Areas of interest include chemical composition, speciation, and transformation; chemical exchanges between the oceans and other components of the Earth system; internal cycling in oceans, seas, and estuaries; and the use of measured chemical distributions as indicators of physical, biological, and geological processes.</t>
  </si>
  <si>
    <t>National Facilities</t>
  </si>
  <si>
    <t>The National Facilities program supports the operation of national user facilities: National Facilities areresearch facilities with specialized instrumentation available to the scientific research community in general and the materials research community in particular.These facilities provide unique research capabilities that can be located at only a few highly specialized laboratories in the Nation. They provide open user service for scientists and engineers from a broad range of disciplines including biology, chemistry, geosciences, materials research. and physics. Theyinclude facilities and resources for research using high magnetic fields, ultraviolet and x-ray synchrotron radiation, neutron scattering, and nanofabrication. Theyserve as science and technology-related resources and experiences for students. Theyconduct student and teacher education, general public awareness activities, curriculum development, and educational research.</t>
  </si>
  <si>
    <t>Annual Program Statement - Policy, Advocacy, and Communication Enhanced  for Population and Reproductive Health (PACE)</t>
  </si>
  <si>
    <t>Others (see text field entitled "Additional Information on Eligibility" for clarification) Eligibility Criteria: U.S. and non-U.S. public, private, for-profit, and nonprofit organizations, as well as institutions of higher education, public international organizations, and non-governmental organizations, are eligible to submit a concept paper under each Round(s) of the APS. Further, the organization must be a legally-recognized, organizational entity under applicable law, not otherwise restricted by statute, regulation, Agency policy, or administrative determination (i.e., suspension and debarment) from receiving assistance, and legally registered in a country that is not a prohibited source per ADS 310.  Each recipient must be a responsible entity. The AO may determine a Pre-Award survey is required and if so, would establish a formal survey team to conduct an examination that will determine whether the prospective recipient has the necessary organizational, experience, accounting and operational controls, and technical skills   or ability to obtain them   in order to achieve the objectives of the program. Organizations in developing countries are strongly encouraged to apply, inasmuch as they will support not only the objectives of this APS and the Round(s) they are applying to, but also USAID's objectives to build capacities in local organizations that are needed for sustainable development. USAID strongly encourages applications from potential new partners that meet the eligibility requirements and are willing to be subjected to a Pre-Award Survey.  Concept papers from organizations that do not meet the above eligibility criteria will not be reviewed and evaluated. Individuals are not eligible to apply for any Rounds of this APS.  Please see Round-specific additional eligibility criteria for any changes to this information.</t>
  </si>
  <si>
    <t>The Round 2 Call for Concept Papers opened on January 2, 2020. Concept papers are due on January 22nd. Please see the "Related Documents" tab for the Round 2 Document. Please also review the Revised PACE APS, posted under "Related Documents" on December 11, 2019.
This revised APS publicizes the intention of the United States Government (USG) to fund one or multiple awards through the USAID Global Health Bureau to address the overarching APS Program Purpose of assuring that voluntary family planning/reproductive health (FP/RH) and population dynamics are included in policies and programs as key to sustainable and equitable economic growth and development. 
This main APS document outlines the purpose, sub-purpose, expected results, and priorities of Policy, Advocacy, and Communication Enhanced for Population and Reproductive Health (PACE), and may result in multiple awards issued under subsequent APS Rounds. Note: When referencing PACE in this document, the reference is to the full portfolio of possible awards under this overall purpose. This specific document is an umbrella APS and will not be accepting concept papers or applications. Prospective applicants will be provided a fair opportunity to develop and submit competitive concept papers to USAID for potential funding via discrete Rounds under this APS. For the purposes of the PACE APS, a â€œRoundâ€ is defined as a specific program description that falls under the larger PACE APS purpose, sub-purpose, and results but is tailored to a certain focus. Under each Round, applicants will first submit a short concept paper that will be reviewed for responsiveness to the overall PACE purpose, selected results, and Roundâ€™s focus and then scored according to the review criteria provided in the Round document. If an applicant is successful in the concept paper stage, applicant representatives may be invited to join a co-creation process. Following co-creation, selected applicants (individual organizations and/or consortia developed at concept paper stage or during co-creation) will be requested to submit a Full Application, the content and format of which will be provided in greater detail by the Agreement Officer. Publishing this APS does not commit USAID to make any awards. USAID also reserves the right to not conduct a co-creation workshop/process and request Full Applications from successful applicants at concept paper stage.
Pending funding availability, there may be multiple Rounds for this APS that will all aim to meet the Purpose and Results mentioned above. The financial range for award(s) will be specified in each Round.
Issuance of this APS does not constitute an award or commitment on the part of the USG, nor does it commit the USG to pay for costs incurred in the preparation and submission of a concept paper or an application. 
USAID reserves the right to close or amend the APS on or before the closing date (March 12, 2025). Therefore, for each issued Round, organizations are encouraged to apply as soon as possible to be considered for review to maximize the possibility of receiving available funding.
As Rounds occur, notifications will be posted on Grants.gov. Please refer to the specific Round documents for detailed information on the concept paper submission guidance including Round points of contact, concept paper requirements, and evaluation criteria for the specific Round. These Round documents should be located under the "Related Documents" tab in this posting.
For a USAID Mission or USAID/Washington Office wishing to issue a Round under this APS, the program description must fit within Section I of this document. Please contact Samantha Pierre (spierre@usaid.gov) for review of the Round document - it must be reviewed before being posted publicly under this APS. All new Rounds must be posted as a PACE APS Round on the USAID Business Forecast.</t>
  </si>
  <si>
    <t>The USAID Global Health Development Innovation Accelerator Broad Agency Announcement</t>
  </si>
  <si>
    <t>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and international donor organizations are eligible under this BAA, unless otherwise stated in the individual BAA Addendum.  All organizations must be determined to be responsive to this BAA and sufficiently responsible to perform or participate in the final award type.</t>
  </si>
  <si>
    <t>This Broad Agency Announcement (BAA) seeks opportunities to co-create, co-design, co-invest, and collaborate in the development, testing, and scaling of innovative approaches that address critical global health challenges.  The United States Agency for International Development (USAID) invites organizations and companies to participate with USAID, in cooperation with its partners, in response to a Global Health Challenge Addenda issued under this BAA, as described below, to provide innovative interventions and technologies that further the U.S. GovernmentÂ’s commitment to prevent and manage critical global health challenges.</t>
  </si>
  <si>
    <t>The USAID Development Innovation Accelerator (DIA) Broad Agency Announcement (BAA) for Global Forestry and Biodiversity Conservation</t>
  </si>
  <si>
    <t>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multilateral and international donor organizations are eligible under this BAA, unless otherwise stated in the individual BAA Addendum. All organizations must be determined to be responsive to the BAA and sufficiently responsible to perform or participate in the final award type.</t>
  </si>
  <si>
    <t xml:space="preserve">This Broad Agency Announcement (BAA) seeks opportunities to co-create, co-design, co-invest, and collaborate in the research, development, piloting, testing, and scaling of innovative, practical and cost-effective interventions to address critical biodiversity conservation challenges. The United States Agency for International Development (USAID) invites organizations and companies to participate with USAID in response to a Critical Biodiversity Conservation Challenge Addendum issued under this BAA, as described below, to create more strategic, focused and results-oriented biodiversity programming and apply scientific and research-motivated approaches to support sustainable biodiversity conservation and development outcomes. This is the broad global forestry and biodiversity BAA for USAID. </t>
  </si>
  <si>
    <t>USAID/Brazil Partnership to Conserve Amazon Biodiversity</t>
  </si>
  <si>
    <t>USAID-PER</t>
  </si>
  <si>
    <t>Peru USAID-Lima</t>
  </si>
  <si>
    <t>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and international donor organizations are eligible under this BAA, unless otherwise stated in the individual BAA Addendum</t>
  </si>
  <si>
    <t>This Broad Agency Announcement (BAA) seeks opportunities to co-create, co-design, co- invest, and collaborate in the development, piloting, and scaling of practical and cost-effective innovations that will help address critical challenges in biodiversity conservation in the Amazon. The United States Agency for International Development (USAID), in cooperation with the Government of Brazil (GOB), invites organizations and companies to participate with USAID, in cooperation with its partners, in response to Critical Conservation Challenge Addenda issued under this BAA, to provide innovations, and technologies that further USAIDÂ’s Development Objective of Enhanced Biodiversity Conservation for Brazilian Amazonian Protected Areas Systems.</t>
  </si>
  <si>
    <t>The USAID Fighting Ebola BAA</t>
  </si>
  <si>
    <t xml:space="preserve">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and international donor organizations are eligible under this BAA, unless otherwise stated in the individual BAA Addendum.  All organizations must be determined to be responsive to this BAA and sufficiently responsible to perform or participate in the final award type.  </t>
  </si>
  <si>
    <t>This Broad Agency Announcement (BAA) seeks opportunities to co-create, co-design, co-invest, and collaborate in the development, testing, and scaling of practical and cost-effective innovations that can help healthcare workers on the front lines provide better care and stop the spread of Ebola.  The United States Agency for International Development (USAID) invites organizations and companies to participate with USAID, in cooperation with its partners, in response to Fighting Ebola Challenge Addenda issued under this BAA, as described below, to provide innovations and technologies that further the U.S. GovernmentÂ’s commitment to addressing the Ebola epidemic.</t>
  </si>
  <si>
    <t>USAID/Nigeria Education Crisis Response</t>
  </si>
  <si>
    <t>USAID-NIG</t>
  </si>
  <si>
    <t>Nigeria USAID-Abuja</t>
  </si>
  <si>
    <t xml:space="preserve">The purpose of this notice is to announce an  Annual Program Statement (APS) for the USAID/Nigeria Education Crisis Response. The overarching goal of the Education Crisis Response is to: Expand enrollment in appropriate, protective and relevant educational options for the girls, boys, and youth that are affected by violence in Northeastern Nigeria.Activities will provide targeted assistance for the girls, boys, and youth that are affected by violence in Northeastern Nigeria, and ensure that children and youth have continued access to an instructional routine in Adamawa and the buffer States of Bauchi and Gombe (with other States to be determined as needs require and conditions permit). Within this goal, the Education Crisis Response will address the following problems: Â•	Expected large increase in drop-out rates in affected States Â•	Over-crowding of classrooms and learning spaces due to influx of displaced populations Â•	Limited access for displaced children Â•	Shortage of qualified teachers and instructional materials for formal and non-formal education Â•	Children traumatized by violence and abductions, and families fear of sending their children to school Â•	Marginalization of girls and children with disabilities Â•	Rising tensions between host communities and displaced populations.Programs may have a maximum duration of 36 months. Priority will be given to applications that can be launched rapidly. USAID anticipates awarding approximately two to six awards ranging anywhere from minimum grant size of $300,000 and a maximum grant size of $15,000,000 made available either to one grantee, multiple grantees, or no grantees depending on the quality of the applications and availability of funds.Subject to the availability of funds, USAID intends to provide the funding in the total range of approximately $30,000,000. USAID/Nigeria reserves the right to make multiple grants, cooperative agreements, or no awards at all through this APS. Questions concerning this notice may be directed to Abdullahi Sadiq, USAID/Nigeria Assistance Specialist, at asadiq@usaid.gov with a copy to abujaeduprocurements@usaid.gov. Prospective applicants may not contact USAID technical staff directly for information on this APS Â– such contact may be grounds for exclusion from the competition. Until the Grants/ and/or Cooperative Agreements are awarded, all communication between applicants and USAID must be directed through the Assistance Specialist.This notice does not obligate USAID to award a grant or cooperative agreement, nor does it commit the U.S. Government to pay any cost incurred in the preparation and submission of applications.Deadline for submission of question for Round 1 was August 04, 2014. Deadline for submission of applications for Round 1 is: September 05, 2014.Prospective applicants are strongly advised to click the "FULL ANNOUNCEMENT" tab and download the APS and the APS Questions and Answers (Q&amp;A) for full details. </t>
  </si>
  <si>
    <t>Ocean Drilling Program</t>
  </si>
  <si>
    <t xml:space="preserve">International Ocean Discovery Program Operations
The International Ocean Discovery Program (IODP) serves to advance basic research in the marine geosciences and is supported by the National Science Foundation (NSF) and its international partners. The science plan, Illuminating Earth's Past, Present, and Future: The International Ocean Discovery Program Science Plan for 2013-2023, provides justification for the United States' participation in the IODP and reflects the top priorities of the international science community. A multi-platform approach is required to address the goals outlined in the IODP science plan, including a non-riser vessel to collect widely-distributed high-resolution cores to address climate, environmental, crustal and observatory science objectives; a heavy riser-equipped vessel to reach the deep sedimentary and crustal layers; and mission-specific platforms to support high-latitude and shallow-water projects.
The light drillship, JOIDES Resolution, is provided by the U.S. National Science Foundation. Science operations for the JOIDES Resolution are conducted through a Cooperative Agreement with Texas A M University with scientific planning conducted by the JOIDES Resolution Facility Board.
The Ministry of Education, Culture, Sports, Science and Technology (MEXT) of Japan provides the heavy drillship, Chikyu (Earth), to conduct the deep drilling projects in the new program. The Center for Deep Earth Exploration of the Independent Administrative Institution, Japan Agency for Marine-Earth Science and Technology (JAMSTEC) operates the vessel for IODP. Scientific planning for Chikyu IODP operations is conducted by the Chikyu IODP Board.
Mission Specific Platforms (MSP) are provided by the European Consortium for Ocean Research Drilling (ECORD). The ECORD Facility Board conducts scientific planning for MSP expeditions and the platforms themselves are operated by the European Science Operator (ESO).
A Science Support Office (SSO) is provided by Scripps Institution of Oceanography, University of California San Diego under a Cooperative Agreement with the National Science Foundation. The SSO s primary tasks include:
providing logistical support for the JOIDES Resolution Facility Board and its advisory panels
overseeing the proposal submission and review process
managing the Site Survey Data Bank
providing a gateway website to IODP scientific planning
U.S. scientific community involvement in IODP is facilitated by the United States Science Support Program (USSSP) for Ocean Drilling. USSSP is run by Lamont-Doherty Earth Observatory of Columbia University under a Cooperative Agreement with the National Science Foundation. USSSP s primary tasks are:
support for U.S.-based researchers to participate on IODP expeditions, participate on the IODP advisory panels, and conduct initial post-expedition research
support for planning and thematic workshops and pre-drilling activities to collect, refine, and/or integrate site specific and/or regional data that aid in planning drilling expeditions
support outreach activities on IODP drilling platforms, for graduate students fellowships, and an IODP-themed lecture series. 
United States Science Support for Drilling-Related Research
Grant support for drilling-related research performed by United States scientists is available from the NSF. Proposals for most pre-expedition (e.g., site characterization) and post-expedition studies should be submitted through the appropriate NSF programs, such as Ocean Sciences Marine Geology and Geophysics, Earth Sciences, Polar Programs, etc.
Additional drilling-related research support for United States scientists may be obtained via the U.S. Science Support Program. Funding opportunities from this NSF-sponsored program include, but are not limited to:
supplemental funding ( $18,000) for post-expedition research by U.S scientists who participate in IODP expeditions
planning activities, such as workshops on specific ocean-drilling scientific themes, topics, or geographic regions
pre-drilling activities to acquire data or information that will enhance a drilling expedition.
</t>
  </si>
  <si>
    <t>US-Egypt Learning Program</t>
  </si>
  <si>
    <t>USAID-EGY</t>
  </si>
  <si>
    <t>Egypt USAID-Cairo</t>
  </si>
  <si>
    <t>Others (see text field entitled "Additional Information on Eligibility" for clarification) Full and Open  competition</t>
  </si>
  <si>
    <t xml:space="preserve">The purpose of this solicitation is to provide targeted technical assistance and training support to the Government of Egypt to enable it to effectively implement a sustainable, nation-wide early grade learning (reading and mathematics) as well as develop an approach for improving the instruction of English in primary school.  Over the last three years, the Ministry of Education has demonstrated strong commitment to design and scale up an Early Grade Reading Program (EGRP) that was developed in 2010 under a USAID-funded program (GILO Â– Girls for Improved Learning Outcomes).   Most recently the Ministry of Education (MOE) has decided to incorporate a mathematics component in the early grade reading program.  At the same time, the Ministry would like to improve the instruction of English.  Given the MinistryÂ’s strong commitment and experience, it is expected to take the lead in the US-Egypt Learning Program.  The role of the grantee will be a supportive one.  The grantee will solidify and build on the EGRP strategies and approaches introduced by GILO, and expand them to be fully institutionalized.  Specifically the grantee will collaborate with the MOE to:  _x000D_
(1)	 Strengthen early grade reading instruction, and improve mathematics and English language teaching and learning materials and instructional approaches _x000D_
(2)	Develop cost-effective national assessments for reading and mathematics as well and monitoring and reporting systems._x000D_
(3)	Institutionalize pre-service and in-service professional development systems for early grade teachers and supervisors._x000D_
(4)	Improve the education delivery system and build the capacity of Governorate and Idara (district) teams to develop and implement education plans that include budgets for early grade learning, incentives, and needed human resources._x000D_
</t>
  </si>
  <si>
    <t>More Transparent and Accountable Governanace</t>
  </si>
  <si>
    <t>USAID-GEO</t>
  </si>
  <si>
    <t>Georgia USAID-Tbilisi</t>
  </si>
  <si>
    <t xml:space="preserve">This is for informational purposes, for potential offerors/applicants to plan accordingly.  This project summary is intended to provide a broad picture of the mission's planned approach to good governance; it is one of three democracy and governance projects under the USAID Mission's 2013-2017 CDCS. We do not anticipate this project to change significantly. The next postings related to this document will be Requests for Proposals/Requests for Applications.  </t>
  </si>
  <si>
    <t>USAID/DCHA/FFP International Emergency Food Assistance</t>
  </si>
  <si>
    <t xml:space="preserve">Title II and Emergency Food Security Program (EFSP) awards to provide local and/or regional purchase of food and/or food vouchers and/or cash transfers.  </t>
  </si>
  <si>
    <t>Child, Newborn, and Maternal Health Project</t>
  </si>
  <si>
    <t>USAID-PAK</t>
  </si>
  <si>
    <t>Pakistan USAID-Islamabad</t>
  </si>
  <si>
    <t xml:space="preserve">Others (see text field entitled "Additional Information on Eligibility" for clarification) The purpose of this amendment is to cancel the Request for Application No:. 391-13-000009 for implementation of the  Child, Newborn, and Maternal Health Activity. </t>
  </si>
  <si>
    <t>The purpose of this amendment is to cancel the Request for Application No:. 391-13-000009 for implementation of the Â“Child, Newborn, and Maternal Health Activity.Â”</t>
  </si>
  <si>
    <t>Sequestration Information</t>
  </si>
  <si>
    <t>DOE-01</t>
  </si>
  <si>
    <t>Headquarters</t>
  </si>
  <si>
    <t>Others (see text field entitled "Additional Information on Eligibility" for clarification) Notice</t>
  </si>
  <si>
    <t>Notice</t>
  </si>
  <si>
    <t>Microbicides Research, Development, and Introduction</t>
  </si>
  <si>
    <t>Others (see text field entitled "Additional Information on Eligibility" for clarification) Elibility requirements included in attached document.</t>
  </si>
  <si>
    <t>Clinical trials of vaginal microbicide have been tested recently in South Africa to determine efficacy of reduction of HIV infection.  Microbicide research, development, and introduction activities which could potentially be supported through this APS mechanism are expected to contribute substantially to the Principles of the Global Health Initiative (GHI), particularly in promoting research and innovation; implementing a woman- and girl-centered approach; strengthening and leveraging inputs from multilateral organizations, global health partnerships, and the private sector; and encouraging country ownership and leadership.  Potential activities could also contribute significantly to strengthening the health system building blocks related to commodities and procurement, service delivery, and leadership and governance.  It is expected that gender analyses and other gender considerations will continue to inform the design and implementation of activities implemented as part of the AgencyÂ’s microbicide program.  All awards will also be subject to USAID environmental requirements, including completion of an initial environmental examination.See attached APS for full Funding Opportunity description.</t>
  </si>
  <si>
    <t>School Improvement Program</t>
  </si>
  <si>
    <t xml:space="preserve">Others (see text field entitled "Additional Information on Eligibility" for clarification) United States Government, represented by the Agency for International Development (USAID) Mission to the West Bank and Gaza is seeking applications from qualified U.S. Non-Governmental Organizations (NGOs), U.S. Private Voluntary Organizations (PVOs), Public International Organizations (PIOs), and U.S. for profit firms (provided they forgo profit) to implement a program entitled  School Improvement Program . _x000D_
_x000D_
Pursuant to 22 CFR 226.81, it is USAID policy not to award profit under assistance instruments.  However, all reasonable, allocable and allowable expenses, both direct and indirect, which are related to the agreement program and are in accordance with applicable cost standards (22 CFR 226, OMB Circular A-122 for non-profit organization, OMB Circular A-21 for universities, and the Federal Acquisition Regulation (FAR) Part 31 for profit organizations), may be paid under the anticipated award._x000D_
_x000D_
USAID welcomes applications from organizations which have not previously done business with USAID._x000D_
_x000D_
Applicants must have established financial management, monitoring and evaluation, internal control systems, and policies and procedures that comply with established U.S. Government standards, laws, and regulations.  The successful applicant(s) will be subject to a responsibility determination issued by a warranted Agreement Officer (AO) in USAID._x000D_
_x000D_
The Recipient must be a responsible entity.  The AO may determine a pre-award survey is required and if so, would establish a formal survey team to conduct an examination that will determine whether the prospective recipient has the necessary organization, experience, accounting and operational controls, and technical skills   or ability to obtain them   in order to achieve the objectives of the program._x000D_
_x000D_
</t>
  </si>
  <si>
    <t>Marginalized Palestinian areas suffer from a multitude of political, security and socio-economic problems that hinder development work and put the population at serious risk. The Palestinian Authority (PA) has limited authority and capability to reach all Palestinian areas to provide meaningful support to its residents.  The School Improvement Program will implement interventions to improve the educational environment and quality of education in the most disadvantaged Palestinian areas. This program will provide support to public and private schools in the most disadvantaged Palestinian areas. The primary goal of the program is to improve access to quality education and mitigate challenges to youth development in marginalized areas.  The sub-goals include:  1)	Improved educational facilities through renovation.2)	Improved teaching and learning through teacher training as appropriate, provision of educational resources, and collaboration with local communities.3)	Expanded opportunities for youth development through extracurricular activities, career counseling and training in schools after hours.Illustrative outcomes include:Â•	Improved human and physical educational resources that contribute to narrowing the achievement gap between students in underserved and better served Palestinian areas.Â•	Organized and sustained extracurricular activities and youth programs.Â•	Established networks between teachers, administrators, counselors, officials and community representatives in the targeted schools aiming at improving the quality of education and youth programming.Â•	Enhanced community involvement in school decision-making.Â•	Strengthened educational institutions that provide services to learners.</t>
  </si>
  <si>
    <t>Service Delivery and Support for Families Caring For Orphans and Vulnerable Children (OVC)</t>
  </si>
  <si>
    <t xml:space="preserve">Others (see text field entitled "Additional Information on Eligibility" for clarification) Any local South African non-governmental organization (NGO) and for-profit organization meeting the criteria in section III is eligible to apply under this RFA.  </t>
  </si>
  <si>
    <t>The purpose of this program is to improve the well-being of families and their vulnerable children through comprehensive and coordinated evidence-based interventions that strengthen the capacity of families and communities to care for vulnerable children in sub-districts and districts with high HIV prevalence, high maternal mortality, and a high number of orphans and vulnerable children.</t>
  </si>
  <si>
    <t>Comprehensive District-Based Support for Better HIV/TB Patient Outcomes</t>
  </si>
  <si>
    <t>Others (see text field entitled "Additional Information on Eligibility" for clarification) See RFA for eligibility information.</t>
  </si>
  <si>
    <t>The United States Government, as represented by the United States Agency for International Development (USAID) Mission to Southern Africa, is seeking applications from organizations interested in implementing a five-year comprehensive district-based HIV-related services support program for better patient outcomes, as fully described in this Request for Applications (RFA).</t>
  </si>
  <si>
    <t>African Institutions Innovation Mechanism (AIIM)</t>
  </si>
  <si>
    <t>Others (see text field entitled "Additional Information on Eligibility" for clarification) This opportunity is restricted to applicants that are operational in at least two of the following countries and legally registered in one: Burundi, Democratic Republic of the Congo, Djibouti, Ethiopia, Kenya, Rwanda, South Sudan, Sudan, Tanzania, and/or Uganda</t>
  </si>
  <si>
    <t>Please refer to the following link for the description of the program description:http://www.feedthefuture.gov/sites/default/files/country/strategies/files/EastAfricaFTFMulti-YearStrategy.pdf</t>
  </si>
  <si>
    <t>Vegetation Interns</t>
  </si>
  <si>
    <t>Others (see text field entitled "Additional Information on Eligibility" for clarification) *Task agreement already awarded to SCA for the work described.</t>
  </si>
  <si>
    <t>*Task agreement already awarded to SCA for the work described.</t>
  </si>
  <si>
    <t>Systems Strengthening for Better HIV/TB Patient Outcomes</t>
  </si>
  <si>
    <t xml:space="preserve">Others (see text field entitled "Additional Information on Eligibility" for clarification) Local South African non-governmental organizations (NGO) and for-profit organizations meeting the criteria in section III.  </t>
  </si>
  <si>
    <t>The purpose of this program is to strengthen South African Government (SAG) systems in order to improve patient outcomes and prevent HIV by supporting comprehensive clinic-based (hospitals, community health centers, and primary health care clinics) HIV-related services.</t>
  </si>
  <si>
    <t>Data Management</t>
  </si>
  <si>
    <t xml:space="preserve">Others (see text field entitled "Additional Information on Eligibility" for clarification) Youth Organization </t>
  </si>
  <si>
    <t>The objective of this project is to participate collaboratively in data management and other conservation activities to document and archive information related to much on-going and new resource management projects.  The interns will gain experience in planning and environmental assessments, NEPA, FLPMA, GIS, data entry, data archiving, report writing and other position-related skills, using ArcView, Microsoft Office Suite, and other software. In addition, they will actively participate in conservation project implementation in order to better understand project documentation and data management.</t>
  </si>
  <si>
    <t>NSF-NIST Interaction in Basic and Applied Scientific Research in BIO, ENG   MPS</t>
  </si>
  <si>
    <t>Others (see text field entitled "Additional Information on Eligibility" for clarification) *PI Limit:_x000D_
Only principal investigators (PIs) on current NSF awards from participating divisions in the BIO, ENG or MPS Directorates are eligible to apply for supplements.</t>
  </si>
  <si>
    <t>This Dear Colleague Letter is intended to facilitate interactions between Principal Investigators (PIs), co-PIs, post-doctoral scholars and both undergraduate and graduate students supported by the National Science Foundation (NSF) and scientists and engineers at the National Institute of Standards and Technology's (NIST).  NIST operates a vast array of instruments and measurement systems, both commercial equipment and specialized tools developed by NIST researchers.  Researchers from industry, academia, and non-profit organizations interested in working collaboratively with NIST researchers on projects of mutual interest may access these systems as part of that research.  Supplemental support to existing NSF awards may be requested to allow PIs, co-PIs, post-doctoral scholars and both undergraduate and graduate students on these awards to participate in such collaborative research at NIST.</t>
  </si>
  <si>
    <t>Climate Program Office for FY 2012</t>
  </si>
  <si>
    <t xml:space="preserve">Others (see text field entitled "Additional Information on Eligibility" for clarification) Eligible applicants are institutions of higher education, other nonprofits, commercial organizations, international organizations, and state, local and Indian tribal governments. Federal agencies or institutions are not eligible to receive Federal assistance under this notice.  </t>
  </si>
  <si>
    <t xml:space="preserve">Changing climate confronts society with significant economic, health, safety, and national security challenges. NOAA advances scientific and technical programs to help society cope with, and adapt to, today's variations in climate and to prepare for tomorrow's.  Toward this end, the agency conducts and supports climate research, observations, modeling, information management, assessments, interdisciplinary decision support research, outreach, education, and stakeholder partnership development.  These investments are key to NOAA's mission of "Science, Service, and Stewardship" and are guided by the agency's vision to create and sustain enhanced resilience in ecosystems, communities, and economies, as described in NOAA's Next Generation Strategic Plan (NGSP) .   Fostering climate adaptation and mitigation, and, specifically, the development of an informed society anticipating and responding to climate and its impacts - is one of the primary pathways through which NOAA plans to advance its mission. The NGSP outlines NOAA's five-year climate objectives: 1) Improved scientific understanding of the changing climate system and its impacts; 2) Assessments of current and future states of the climate system that identify potential impacts and inform science, service, and stewardship decisions; 3) Mitigation and adaptation choices supported by sustained, reliable, and timely climate services; and 4) A climate-literate public that understands its vulnerabilities to a changing climate and makes informed decisions. NOAA works in partnership with Federal, academic, private, and international research entities, and places a substantial emphasis on productive partnerships and interactions with decision makers and other stakeholders.Within this context, NOAA's Climate Program Office (CPO) manages competitive research programs conducted in regions across the United States, at national and international scales, and globally. The CPO also provides strategic guidance and oversight for the agency's climate science and services programs and helps to integrate capabilities from across the agency to provide enhanced services to its constituents. Achieving the first of the NGSP climate objectives, an improved scientific understanding of the changing climate system and its impacts, requires a number of core capabilities be supported.  These core capabilities can be broadly categorized to include: (a) understanding and modeling, (b) observing systems, data stewardship, and climate monitoring, (c) predictions and projections, and (d) integrated service development and decision support.These core capabilities, in turn, will focus initially on the following societal challenges identified in the NGSP as early evidence of progress to be made by NOAA in providing sustained, reliable, and timely climate services:*      Climate Impacts on Water Resources*     Coasts and Climate Resilience*     Sustainability of Marine Ecosystems*     Changes in Extremes of Weather and Climate*     Information for Mitigating Climate ChangeEach of the Competitions announced in this Federal Funding Opportunity addresses one or more of these core capabilities or societal challenges.  It is expected that applications submitted in response to this Opportunity will identify their relevance to NOAA's climate science and services by indicating which core capabilities and/or societal challenges will be addressed by the proposed work.  Application abstracts must include a paragraph describing the work's relevance to the NGSP's long-term goal of climate adaptation and mitigation as well as to the Competition that is being targeted.In FY 2012, we estimate that $15.5 million will be available for approximately 60 new awards pending budget appropriations.   It is anticipated that most awards will be at a funding level between $50,000 and $200,000 per year, with some exceptions for larger awards.  Investigators are highly encouraged to visit the CPO website http://www.cpo.noaa.gov/index.jsp?pg=/opportunities/opp_index.jsp&amp;opp=2012/program_elements.jsphttp://www.noaa.gov/ngsp </t>
  </si>
  <si>
    <t>INFORMATION ON UGANDA LITERACY AND HEALTH EDUCATION PROGRAM</t>
  </si>
  <si>
    <t>USAID-UGA</t>
  </si>
  <si>
    <t>Uganda USAID-Kampala</t>
  </si>
  <si>
    <t>USAID/Uganda is in the process of designing a new program to support UgandaÃ¯Â¿Â½s Ministry of Education and Sports (MOES) to provide high-quality literacy and HIV/AIDS education.    USAID/Uganda is posting this Concept Paper in order to provide public access to any parties interested in USAIDÃ¯Â¿Â½s support to the education sector in Uganda.  This Concept Paper is intended solely as a thought-piece; ideas contained herein may change significantly during the MissionÃ¯Â¿Â½s program design, consultation and approval process._x000D_
_x000D_
_x000D_
This program is designed in support of UgandaÃ¯Â¿Â½s National Development Plan and the policies laid out in the 1992 Government White Paper on Education.  In line with the Paris Declaration, this program will support the MOES by planning and implementing activities through MOES structures and systems.</t>
  </si>
  <si>
    <t>UGANDA FEED THE FUTURE (FTF) PROGRAMS</t>
  </si>
  <si>
    <t xml:space="preserve">See Application Package for more detailed information on Uganda Feed the Future (FTF) programs._x000D_
_x000D_
This is not a call for applications. This is information to let the public know of USAID/Uganda's anticipated future FTF programming for FY 2010._x000D_
_x000D_
The U.S. Government (USG) anticipates a five-year $150M commitment to be invested in programs that align directly with the goals of Uganda's Development Strategy and Investment Plan (DSIP) with a strategic focus on the maize, beans and coffee value chains. _x000D_
 </t>
  </si>
  <si>
    <t>Palestinian Community Assistance Program</t>
  </si>
  <si>
    <t xml:space="preserve">Others (see text field entitled "Additional Information on Eligibility" for clarification) U.S. Non-Governmental Organizations (U.S. NGOs), U.S. Private Voluntary Organization (PVO), Public International Organizations (PIO), or a U.S. for profit firm (provided they forgo profit). </t>
  </si>
  <si>
    <t xml:space="preserve">USAID/West Bank and Gaza - Palestinian Community Assistance ProgramPre-Solicitation Notice The United States Government (USG), through USAID, has been one of the leading donors of humanitarian assistance to the people of Gaza since the onset of military operations in December 2008.  USAID assistance has focused on the delivery of food and non-food items (including clothing, household items, and hygiene kits), school and classroom supplies for private schools, and emergency supplies (blankets, plastic sheeting, and medical supplies).  This assistance was a critical lifeline for the people of Gaza in the immediate aftermath of Operation Cast Lead and throughout the ensuing months. Humanitarian assistance and disaster response remain key pillars of USG support for Gaza. Additionally, USAID planning for future assistance has increasingly focused on recovery programs that both meet basic human needs and address the recovery of livelihoods for Gazan families.  USAID/West Bank and Gaza will be releasing an RFA that intends to award one Cooperative Agreement to an organization that would manage and oversee humanitarian and recovery sub-grants over a multi-year period.  The RFA will fund complex programming in Gaza which promotes long-term food security, safe and secure housing options, improved infrastructure, household-level economic recovery, and other economic recovery opportunities.  These efforts are in line with the priorities established in the Palestinian AuthorityÂ’s Early Recovery and Reconstruction Plan for Gaza.  Projects funded under this RFA may include activities in the health, education, agriculture, infrastructure, or economic sectors.  Examples of potential activities may include constructing agricultural infrastructure, rehabilitating irrigation systems, providing emergency food and non-food items, constructing or rehabilitating private schools/health clinics, building womenÂ’s centers, weatherizing private homes, or providing educational programming for school age children.  Such activities will provide a tangible benefit to the people of Gaza in 2010 and beyond.  </t>
  </si>
  <si>
    <t>Civic Participation Program</t>
  </si>
  <si>
    <t xml:space="preserve">Others (see text field entitled "Additional Information on Eligibility" for clarification) Qualified U.S. Non-Governmental Organizations (NGOs), U.S. Private Voluntary Organizations (PVOs) registered with USAID, Public International Organizations (PIOs), or U.S. for profit firms (provided they forgo profit). _x000D_
_x000D_
Note for For-Profit Organizations: Pursuant to 22 CFR   226.81, it is USAID s policy not to award fees nor profit under assistance instruments. Other reasonable, allocable, and allowable expenses, both direct and indirect, which are related to the agreement program and are in accordance with applicable cost standards (OMB Circular A-122 for nonprofit organizations), may be paid under the agreement.  </t>
  </si>
  <si>
    <t xml:space="preserve">The United States Agency for International Development (USAID) Mission to the West Bank and Gaza is seeking applications from qualified U.S. Non-Governmental Organizations (NGOs), U.S. Private Voluntary Organizations (PVOs) registered with USAID, Public International Organizations (PIOs), or U.S. for profit firms (provided they forgo profit) to implement a program entitled Â“Civic Participation ProgramÂ” in the West Bank and Gaza. The authority for the RFA is found in the Foreign Assistance Act of 1961, as amended._x000D_
_x000D_
Subject to the availability of funds, USAID/West Bank and Gaza intends to provide approximately $18 Million in total USAID funding for this activity to be allocated over a three- year period.  USAID reserves the right to fund any or none of the applications submitted. Although it is planned to make an award of one Cooperative Agreement under this RFA, USAID/West Bank and Gaza in its discretion may make awards to more than one organization or no award.  _x000D_
_x000D_
The purpose of the Civic Participation Program is to reinvigorate civic participation in the Palestinian Authority (PA) decision-making process, in the monitoring and oversight of government institutions, and in the broader public sector discourse in order to ensure a more vibrant and robust democratic dialogue between the government and the citizens of the future Palestinian state._x000D_
_x000D_
 	The three major program objectives are:_x000D_
_x000D_
1)	Increased institutional capacity of targeted civil society organizations, _x000D_
_x000D_
2)	Increased public awareness of how to participate in public sector decision making with targeted PA institutions and local governmental entities_x000D_
_x000D_
3)	New strategic partnerships among government institutions, citizens, civil society actors, and other stakeholders._x000D_
_x000D_
This activity will support the USAID/West Bank and Gaza MissionÂ’s Assistance Objective 11: Â“To reinforce Palestinian efforts to strengthen the performance and democratic practices of selected public sector institutions and non-state actorsÂ” as outlined in the MissionÂ’s Democracy and Governance Strategy. It will be managed by the USAID/WBGÂ’s Democracy and Governance Office (DGO)._x000D_
_x000D_
 	The four program components are as follows:_x000D_
_x000D_
1.	Civic participation and CSO capacity building_x000D_
2.	Coalition building_x000D_
3.	Windows of Opportunity_x000D_
4.	A robust monitoring and evaluation _x000D_
</t>
  </si>
  <si>
    <t>Community Infrastructure Development Program</t>
  </si>
  <si>
    <t xml:space="preserve">Others (see text field entitled "Additional Information on Eligibility" for clarification) APPLICANT ELEGIBIILTY/QUALIFICATIONS _x000D_
_x000D_
U.S. Non-Governmental Organizations (U.S. NGOs), U.S. Private Voluntary Organization (PVO), Public International Organizations (PIO), or a U.S. for profit firm (provided they forgo profit) actively engaged in activities consistent with the program objectives may submit applications based upon this Request for Applications (RFA).  Applicants should have a successful track record in design and implementation of programs similar to that described herein. _x000D_
</t>
  </si>
  <si>
    <t xml:space="preserve">Community Infrastructure Development Program_x000D_
_x000D_
Increased access to improved public infrastructure is a critical foundation for social and economic development.  Existing infrastructure in Palestine perpetuates poor and deteriorating public services and slows economic growth.  Based on the Palestinian Authority (PA) Bureau of the Census and Statistics, about 10% of Palestinian households still have no access to running water -- this represents about 123 localities, villages and communities.  Health facilities have degraded rapidly since 2000 and there is a continuous need for rehabilitation of hospitals and clinics and construction of new facilities.  Almost 45% of the road network in the West Bank is in poor or failed condition.  Furthermore, the PA needs about 50 schools (1000 classrooms) in the West Bank every year just to accommodate the increase in student population.  This situation has developed over many years of economic and political stagnation, rapid population growth, lack of proper maintenance and inadequate investment.  Most affected are marginalized Palestinians living in remote and rural communities.  _x000D_
_x000D_
Faced with aging infrastructure and public demand for better services, the PA has struggled to allocate sufficient resources to fully support the maintenance of existing infrastructure.  With the current economic crisis, the PAÂ’s revenues have been reduced to the point where funding for even minimal levels of infrastructure upkeep, repair, or expansion, is extremely difficult.  Nonetheless, the PA recognizes the need to address such infrastructure deficiencies immediately.   _x000D_
_x000D_
The Community Infrastructure Development Program would respond to small to medium scale infrastructure needs identified by the PA and the USAID/West Bank and Gaza Mission to support improved physical infrastructure.  Activities considered under this program will include, but not be limited to, the construction and renovation of schools and kindergartens; upgrade of vocational education schools facilities; rehabilitation and development of youth/women and recreational centers; rehabilitation and development of roads, sidewalks and public parks; and upgrading and renovation of NGO/private health facilities._x000D_
_x000D_
OBJECTIVE_x000D_
_x000D_
The objectives of the Community Infrastructure Development Program are to:_x000D_
_x000D_
Provide basic multi-sector infrastructure packages to remote communities in order to raise their standard of living;_x000D_
_x000D_
Support requests to increase the impact of USAID-funded programs in health, democracy and governance, education and the private sector by addressing underlying infrastructure needs which may be limiting the impact of those programs; and_x000D_
_x000D_
To the full extent practicable, provide employment opportunities to Palestinian communities, enhance local government capacity to respond to urgent infrastructure needs, and encourage community participation and empowerment in the planning, design, construction, and maintenance of public infrastructure.  _x000D_
</t>
  </si>
  <si>
    <t>Community Livelihoods Project in Yemen</t>
  </si>
  <si>
    <t>Others (see text field entitled "Additional Information on Eligibility" for clarification) Full and Open</t>
  </si>
  <si>
    <t xml:space="preserve">In the near future, USAID/Yemen intends to announce a full and open competition to implement the MissionÂ’s Community Livelihoods Project (CLP) subject to the availability of funds.  This integrated, flexible, multi-sectoral initiative will serve as the flagship project for the MissionÂ’s implementation of the 2010-2012 USAID/Yemen Strategy.  CLP is not a traditional development initiative, but it will rely heavily on tried and proven as well as innovative tools transition and development environments.  The project is intended to mitigate the drivers of instability in some of YemenÂ’s most difficult areas through the facilitation and implementation of quality government service delivery, job creation, responsive local governance, and active civic participation.  Rapidly responding to community-based initiatives to demonstrate USAIDÂ’s and the Government of YemenÂ’s commitment to underserved communities will be a hallmark of this project.  Youth under 25 years old, representing 75% of YemenÂ’s population, will be a particularly important demographic group throughout implementation.  Activities will quickly and effectively mitigate critical threats to stability in Yemen by building trust and relationships between communities with historically difficult relations with Yemeni authorities and the citizens in targeted areas.  This project will be expected to build on and complement ongoing activities during the transition phase between the existing portfolio of USAID/Yemen projects and this flagship initiative.  Very close coordination and collaboration with the MissionÂ’s future National Governance Project (NGP) will be extremely important during the implementation of the CLP.   The implementer also will partner with and make extensive use of local, Yemeni organizations during the implementation of the project.  The implementer also will coordinate with USAIDÂ’s future Monitoring and Evaluation Project to help ensure that program results are tracked against stability measures.USAID/YemenÂ’s 2010-2012 Strategy will be released when this solicitation is released for bid.  USAID anticipates an award for a base period of three years with the potential for follow-on activities dependent on performance and availability of funding.  Subject to the availability of funds, the estimated budget for the three year base period is approximately $65 million.Please note that the Mission staff will be unable to entertain meetings or respond to queries with prospective implementers at this stage.  For further information, please check the web site www.grants.gov in the near future.  </t>
  </si>
  <si>
    <t>National Governance Project in Yemen</t>
  </si>
  <si>
    <t xml:space="preserve">In the near future, USAID/Yemen intends to announce a full and open competition to implement the MissionÂ’s future National Governance Project (NGP) subject to the availability of funds.  This integrated, multi-sectoral program will be technically complementary to USAID/YemenÂ’s future flagship project, the Community Livelihoods Project (CLP).  NGP will be a key part of the MissionÂ’s implementation program under the 2010-2012 USAID/Yemen Strategy.  NGP is intended to facilitate more equitable socio-economic development by strengthening public policies and institutions that will contribute to mitigating the drivers of instability in Yemen.  A more equitable, representative, transparent, responsive, and reliable Yemeni government that meets the needs of its most vulnerable citizens is one way to help achieve USAIDÂ’s objectives.  As the needs in Yemen are great, the implementer will focus on initiatives that directly satisfy the needs identified in USAIDÂ’s strategy, that are supported by the Republic of Yemen GovernmentÂ’s (ROYG) or that would require relatively little effort to garner support, and that will have the biggest strategic impact for the resources expended.  Activities will quickly and effectively mitigate critical threats to stability in Yemen by reestablishing trust, respect, and, in some communities, legitimacy for the Government of Yemen.  Youth will be a particularly important demographic group throughout implementation.  The implementer will make particular effort to complement the efforts of USAIDÂ’s future CLP community-based interventions as a way to improve conditions in YemenÂ’s underserved, vulnerable communities.  The implementer also will partner with and make extensive use of local, Yemeni organizations during the implementation of the project.  The implementer also will coordinate with USAIDÂ’s future Monitoring and Evaluation Project to help ensure that program results are tracked against stability measures.USAID/YemenÂ’s 2010-2012 Strategy will be released when this solicitation is released for bid.  USAID anticipates an award for a base period of three years with the potential for follow-on activities dependent on performance and availability of funding.  Subject to the availability of funds, the estimated budget for the three year base period is approximately $20 million.Please note that the Mission staff will be unable to entertain meetings or respond to queries with prospective implementers at this stage.  For further information, please check the web site www.grants.gov in the near future.  </t>
  </si>
  <si>
    <t>Supplemental Opportunity for SBIR/STTR Memberships in I/UCRCs</t>
  </si>
  <si>
    <t>NSF invites supplemental requests for Small Business Innovation Research and Small Business Technology Transfer (SBIR/STTR) grantees to join an Industry/University Cooperative Research Center (I/UCRC). The supplements are intended to accelerate the innovation process by partnering industry-relevant academic research with commercialization focused small business research. The supplements will enable small businesses to purchase annual memberships in I/UCRCs; thus opening the doors to the benefits of the centers  collaborative research endeavors, which are directed to the needs of specific industries. Please see the  Related URL  section for additional information about this opportunity.</t>
  </si>
  <si>
    <t>Office of Elementary   Secondary Education; Overview Information: Race to the Top Fund (ARRA)  CFDA 84.395</t>
  </si>
  <si>
    <t>Others (see text field entitled "Additional Information on Eligibility" for clarification) States. As defined by Section 14013 of the American Recovery and Reinvestment Act (ARRA), the term   means each of the 50 States, the District of Columbia, and the Commonwealth of Puerto Rico. Awards are made to States (as required by Section 14006(a)(2) of the ARRA). States that receive a Race to the Top grant must use at least 50 percent of the award to provide subgrants to local educational agencies (LEAs), including public charter schools identified as LEAs under State law, based upon LEAs' relative shares of funding under Part A of Title I of the Elementary and Secondary Education Act of 1965, as amended.</t>
  </si>
  <si>
    <t>The Race to the Top is a $4.35 billion competitive grant program designed to encourage and reward States that are creating the conditions for education innovation and reform and implementing ambitious plans in four core education reform areas:Â• Adopting internationally-benchmarked standards and assessments that prepare students for success in college and the workplace; Â• Recruiting, developing, retaining, and rewarding effective teachers and principals; Â• Building data systems that measure student success and inform teachers and principals how they can improve their practices; and Â• Turning around lowest-performing schoolsThe overarching goals are to:Â• Drive substantial gains in student achievementÂ• Improve high school graduation rates and prepare students for success in college and careersÂ• Close achievement gapsThe Department plans to make Race to the Top grants in two phases. States that are ready to apply may do so in Phase 1, which will open in late 2009. States that need more time may apply in Phase 2, which will open in spring 2010. States that apply in Phase 1 but are not awarded grants may reapply for funding in Phase 2, together with States that are applying for the first time in Phase 2. Phase 1 grantees may not apply for additional funding in Phase 2. We will announce specific deadlines for both Phase 1 and Phase 2 in subsequent notice(s) inviting applications for funds under this program.</t>
  </si>
  <si>
    <t>Sociology</t>
  </si>
  <si>
    <t>The Sociology Program supports basic research on all forms of human social organization  societies, institutions, groups and demography  and processes of individual and institutional change. The program encourages theoretically focused empirical investigations aimed at improving the explanation of fundamental social processes. This includes research on organizations and organizational behavior, population dynamics, social movements, social groups, labor force participation, stratification and mobility, family, social networks, socialization, gender, race and the sociology of science and technology. The program supports both original data collection and secondary data analysis that use the full range of quantitative and qualitative methodological tools. Theoretically grounded projects that offer methodological innovations and improvements for data collection and analysis are also welcomed.
_x000D_
Principal Investigators should selectPD 98-1331in the program announcement/solicitation block on the proposal cover sheet for submission of regular research projects to the sociology program. Projects are evaluated using the two foundation-wide criteria, intellectual merit and broader impacts. In assessing the intellectual merit of proposed research, four components are key to securing support from the Sociology Program: (1) the issues investigated must be theoretically grounded; (2) the research should be based on empirical observation or be subject to empirical validation or illustration; (3) the research design must be appropriate to the questions asked; and (4) the proposed research must advance our understanding of social processes, structures and methods.
_x000D_
NSF also offers a number of specialized funding opportunities through its crosscutting and cross-directorate activities; some of the sociology-related opportunities are listed below.
_x000D_
Crosscutting Research   Training Opportunities:
_x000D_
_x000D_
ADVANCE: Increasing the Participation and Advancement of Women in Academic Science and Engineering Careers_x000D_
Faculty Early Career Development (CAREER) Program_x000D_
Graduate Research Fellowship Program (GRFP)_x000D_
Major Research Instrumentation (MRI) Program_x000D_
Mid-scale Research Infrastructure Programs_x000D_
SBE Postdoctoral Research Fellowships (SPRF)_x000D_
Research Experiences for Undergraduates (REU)_x000D_
Research at Undergraduate Institutions (RUI)_x000D_
Small Business Innovation Research (SBIR) Program_x000D_
_x000D_
To get information about these programs and others, please visit thecross-cutting and NSF-wide active funding opportunitiessearch page.
_x000D_
NSF's mission calls for the broadening of opportunities for and expanding participation of groups, institutions and geographic regions that are underrepresented in STEM disciplines, which is essential to the health and vitality of science and engineering. NSF is committed to this principle of diversity and deems it central to the programs, projects and activities it considers and supports.
_x000D_
NSF is also committed to public access to publications and data, unless there are countervailing interests that prohibit or limit public access to data, including matters of personally identifiable information of research participants, privacy or other issues of vulnerability such as economic, social or other security interests, etc.). SeePublic Access to Results of NSF-Funded ResearchandData Management for NSF SBE Directorate Proposals and Awards for more information.</t>
  </si>
  <si>
    <t>Ocean Technology and Interdisciplinary Coordination</t>
  </si>
  <si>
    <t>The Oceanographic Technology and Interdisciplinary Coordination (OTIC) Program supports a broad range of research and technology development activities. Unsolicited proposals are accepted for instrumentation development that has broad applicability to ocean science research projects and that enhance observational, experimental or analytical capabilities of the ocean science research community. Specific announcements for funding opportunities are made for additional projects involving Improvements in Facilities, Communications, and Equipment at Biological Field Stations and Marine Laboratories (FSML) and the National Ocean Partnership Program.</t>
  </si>
  <si>
    <t>Alternative Development Program</t>
  </si>
  <si>
    <t xml:space="preserve">The United States Government, represented by the United States Agency for International Development (USAID), anticipates issuing a request for applications to implement an Alternative Development Program to increase licit and commercially viable agricultural-based alternatives for rural Afghans with the goal of significantly reducing and ultimately eradicating poppy production throughout Afghanistan.  Subject to the availability of funds, this competitively awarded five year Cooperative Agreement shall focus across those provinces within the north, east and west of Afghanistan where poppy eradication has been showing success, security issues are comparatively reduced and opportunities are most abundant. Examples of current priority provinces are Nangarhar, Nuristan, Kunar and Laghman, Badakhshan, and Takhar.   _x000D_
  _x000D_
The Agreement shall be outcomes based focused on results.  Applicants shall compete with proposed solutions that meet the requirements of the RFA and are tailored to an optimal technical / business approach.  The goal is to contribute to the creation of full and part-time and year-round and seasonal jobs, increased sales, strengthened associations, increased exports and improved access to services to promote licit economic growth and positive alternatives to the illicit economy for farmers and non-farmers alike.  The ApplicantÂ’s proposal shall directly link to the Afghanistan National Development Strategy (ANDS).  Applicants should consider revenue generation and cost recovery, anti-corruption, gender, Â“AfghanizationÂ” (increased use of Afghan staff and local firms and NGOs, local project ownership, local sourcing of other goods and services, etc.) and local governance as important cross-cutting issues that must be included in all programmatic elements_x000D_
 _x000D_
USAID will advise applicants of project objectives and desired outcome, but will not specify specific requirements or methodology. Applicants will have the opportunity to propose innovative, cost effective solutions for the Program. This solicitation will be accomplished using full and open competition and all interested parties are invited to apply. USAID especially encourages Afghan and/or regional contractors to consider this opportunity alone or in partnership with other organizations._x000D_
 _x000D_
Applicants are expected to provide a Program Description (PD), Performance Metrics &amp; Measurement Plan and, a Quality Assurance Surveillance Plan (QASP) as part of the application package. Prevailing regulations do not allow Applicants to propose monetary incentives; however, Applicants may propose other innovative approaches to create incentives for program success. _x000D_
</t>
  </si>
  <si>
    <t>Southeast Region Flex Funds</t>
  </si>
  <si>
    <t>DOI-FWS-REG4</t>
  </si>
  <si>
    <t>Region 4</t>
  </si>
  <si>
    <t xml:space="preserve">Unrestricted (i.e., open to any type of entity above), subject to any clarification in text field entitled "Additional Information on Eligibility" Applicants should have a demonstrated knowledge and understanding of the biology and conservation needs of endangered, threatened, candidate, and species of conservation interest to the U.S. Fish and Wildlife Service in the southeastern U.S., Puerto Rico, and the U.S. Virgin Islands. </t>
  </si>
  <si>
    <t>The Endangered Species Program of the Southeast Region provides financial assistance on a competitive baiss to educators, researchers, non-federal agencies, private businesses, individuals and other partners interested in the conservation and recovery of endangered, threatened, candidate, and/or species of conservation interest.</t>
  </si>
  <si>
    <t xml:space="preserve">Developing Country Collaborations in Plant Genome Research (DCC-PGR) </t>
  </si>
  <si>
    <t xml:space="preserve">Unrestricted (i.e., open to any type of entity above), subject to any clarification in text field entitled "Additional Information on Eligibility" All currently active PGRP awardees are eligible to apply for a supplement under this Dear Colleague Letter. Scientists at institutions from </t>
  </si>
  <si>
    <t>This letter is to call your attention to a new activity that will support research collaboration between US scientists and scientists in developing countries as part of ongoing or new Plant Genome Research Program awards.  The Developing Country Collaborations in Plant Genome Research (DCC-PGR) is an addendum to the NSF Program Solicitation, NSF 04-510, Plant Genome Research Program (PGRP) (http://www.nsf.gov/pubsys/ods/getpub.cfm?nsf04510). The intent of DCC-PGR awards is to support collaborative research linking US researchers with partners from developing countries to solve problems of mutual interest in agriculture, energy and the environment, while placing US and international researchers at the center of a global network of scientific excellence. The long-term goal of these collaborative research efforts is a greater and sustained engagement with developing countries in plant biotechnology research. In order to realize the full potential of biotechnology for the developing world, the technology must target crops grown locally in the developing countries and the traits that are most relevant to the local farmers and consumers. At the same time, proposals should meet the broad goals of the PGRP described in the current Program Solicitation.  Of special interest are those research projects that build on prior PGRP investments and that tackle problems specific to crops grown in the developing world. A request for supplemental funding should be made under an existing PGRP award.  Support can also be requested within a proposal for a new or renewal PGRP award.  Proposed collaborative activities are encouraged that focus on research problems important to developing countries and that include scientist-to-scientist interactions potentially leading to long-term partnerships among participating laboratories. The exchange of ideas and people should be reciprocal and should be built on equal partnerships among U.S. scientists and scientists of developing nations.  Examples of activities to be supported would include, but not be limited to: joint research projects; and long-term (1 year) or short-term (1-3 months) exchange visits that are reciprocal exchanges of investigators and students between the US and developing countries. Collaborations should be developed that bring complementary sets of expertise to bear on problems of importance to the participants from developing countries, and that meet their identified needs.</t>
  </si>
  <si>
    <t>ID</t>
  </si>
  <si>
    <t>Title</t>
  </si>
  <si>
    <t>Agency Code</t>
  </si>
  <si>
    <t>Agency</t>
  </si>
  <si>
    <t>Close Date</t>
  </si>
  <si>
    <t>Amount Ceil</t>
  </si>
  <si>
    <t>Amount Floor</t>
  </si>
  <si>
    <t># Awards</t>
  </si>
  <si>
    <t>Eligibility</t>
  </si>
  <si>
    <t>Description</t>
  </si>
  <si>
    <t>All Federal Fund Opportunities Available in Three Months (as of Febuary 15th,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</si>
</sst>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6"/>
      <color indexed="8"/>
      <name val="Calibri"/>
      <family val="2"/>
    </font>
    <font>
      <sz val="14"/>
      <color indexed="9"/>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0" fontId="18" fillId="0" borderId="10" xfId="0" applyFont="1" applyBorder="1" applyAlignment="1">
      <alignment horizontal="left" vertical="center"/>
    </xf>
    <xf numFmtId="44" fontId="18" fillId="0" borderId="10" xfId="1" applyFont="1" applyBorder="1" applyAlignment="1">
      <alignment horizontal="left" vertical="center"/>
    </xf>
    <xf numFmtId="0" fontId="19" fillId="33" borderId="10" xfId="0" applyFont="1" applyFill="1" applyBorder="1" applyAlignment="1">
      <alignment horizontal="left" vertical="center" wrapText="1"/>
    </xf>
    <xf numFmtId="44" fontId="19" fillId="33" borderId="10" xfId="1" applyFont="1" applyFill="1" applyBorder="1" applyAlignment="1">
      <alignment horizontal="left" vertical="center" wrapText="1"/>
    </xf>
    <xf numFmtId="44" fontId="0" fillId="0" borderId="0" xfId="1" applyFont="1"/>
    <xf numFmtId="0" fontId="0" fillId="0" borderId="10" xfId="0" applyBorder="1" applyAlignment="1">
      <alignment vertical="center" wrapText="1"/>
    </xf>
    <xf numFmtId="14" fontId="0" fillId="0" borderId="10" xfId="0" applyNumberFormat="1" applyBorder="1" applyAlignment="1">
      <alignment vertical="center" wrapText="1"/>
    </xf>
    <xf numFmtId="44" fontId="0" fillId="0" borderId="10" xfId="1" applyFont="1" applyBorder="1" applyAlignment="1">
      <alignment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7ADEE-9FB8-4ED5-8081-8C57A21480B2}">
  <dimension ref="A1:J677"/>
  <sheetViews>
    <sheetView tabSelected="1" topLeftCell="A12" workbookViewId="0">
      <selection activeCell="F12" sqref="F12"/>
    </sheetView>
  </sheetViews>
  <sheetFormatPr defaultRowHeight="14.4" x14ac:dyDescent="0.3"/>
  <cols>
    <col min="1" max="1" width="24.33203125" customWidth="1"/>
    <col min="2" max="2" width="15.6640625" customWidth="1"/>
    <col min="3" max="3" width="17.6640625" customWidth="1"/>
    <col min="4" max="4" width="16.77734375" customWidth="1"/>
    <col min="5" max="5" width="12.6640625" customWidth="1"/>
    <col min="6" max="6" width="18.6640625" style="5" customWidth="1"/>
    <col min="7" max="7" width="18.44140625" style="5" customWidth="1"/>
    <col min="8" max="8" width="14.33203125" customWidth="1"/>
    <col min="9" max="10" width="64.33203125" customWidth="1"/>
  </cols>
  <sheetData>
    <row r="1" spans="1:10" s="1" customFormat="1" ht="21" x14ac:dyDescent="0.3">
      <c r="A1" s="1" t="s">
        <v>2058</v>
      </c>
      <c r="F1" s="2"/>
      <c r="G1" s="2"/>
    </row>
    <row r="2" spans="1:10" s="3" customFormat="1" ht="20.399999999999999" customHeight="1" x14ac:dyDescent="0.3">
      <c r="A2" s="3" t="s">
        <v>2048</v>
      </c>
      <c r="B2" s="3" t="s">
        <v>2049</v>
      </c>
      <c r="C2" s="3" t="s">
        <v>2050</v>
      </c>
      <c r="D2" s="3" t="s">
        <v>2051</v>
      </c>
      <c r="E2" s="3" t="s">
        <v>2052</v>
      </c>
      <c r="F2" s="4" t="s">
        <v>2053</v>
      </c>
      <c r="G2" s="4" t="s">
        <v>2054</v>
      </c>
      <c r="H2" s="3" t="s">
        <v>2055</v>
      </c>
      <c r="I2" s="3" t="s">
        <v>2056</v>
      </c>
      <c r="J2" s="3" t="s">
        <v>2057</v>
      </c>
    </row>
    <row r="3" spans="1:10" s="6" customFormat="1" ht="230.4" x14ac:dyDescent="0.3">
      <c r="A3" s="6" t="str">
        <f>HYPERLINK("https://grants.gov/search-results-detail/358015","DHS-24-MT-029-000-98")</f>
        <v>DHS-24-MT-029-000-98</v>
      </c>
      <c r="B3" s="6" t="s">
        <v>522</v>
      </c>
      <c r="C3" s="6" t="s">
        <v>523</v>
      </c>
      <c r="D3" s="6" t="s">
        <v>524</v>
      </c>
      <c r="E3" s="7">
        <v>45765</v>
      </c>
      <c r="F3" s="8">
        <v>0</v>
      </c>
      <c r="G3" s="8">
        <v>0</v>
      </c>
      <c r="H3" s="6">
        <v>40</v>
      </c>
      <c r="I3" s="6" t="s">
        <v>525</v>
      </c>
      <c r="J3" s="6" t="s">
        <v>526</v>
      </c>
    </row>
    <row r="4" spans="1:10" s="6" customFormat="1" ht="409.6" x14ac:dyDescent="0.3">
      <c r="A4" s="6" t="str">
        <f>HYPERLINK("https://grants.gov/search-results-detail/358006","DHS-24-MT-047-00-98")</f>
        <v>DHS-24-MT-047-00-98</v>
      </c>
      <c r="B4" s="6" t="s">
        <v>532</v>
      </c>
      <c r="C4" s="6" t="s">
        <v>523</v>
      </c>
      <c r="D4" s="6" t="s">
        <v>524</v>
      </c>
      <c r="E4" s="7">
        <v>45765</v>
      </c>
      <c r="F4" s="8">
        <v>150000000</v>
      </c>
      <c r="G4" s="8">
        <v>0</v>
      </c>
      <c r="H4" s="6">
        <v>800</v>
      </c>
      <c r="I4" s="6" t="s">
        <v>533</v>
      </c>
      <c r="J4" s="6" t="s">
        <v>534</v>
      </c>
    </row>
    <row r="5" spans="1:10" s="6" customFormat="1" ht="409.6" x14ac:dyDescent="0.3">
      <c r="A5" s="6" t="str">
        <f>HYPERLINK("https://grants.gov/search-results-detail/334079","EDA-HDQ-RNTA-2021")</f>
        <v>EDA-HDQ-RNTA-2021</v>
      </c>
      <c r="B5" s="6" t="s">
        <v>1694</v>
      </c>
      <c r="C5" s="6" t="s">
        <v>1695</v>
      </c>
      <c r="D5" s="6" t="s">
        <v>1696</v>
      </c>
      <c r="F5" s="8">
        <v>1500000</v>
      </c>
      <c r="G5" s="8">
        <v>1</v>
      </c>
      <c r="H5" s="6">
        <v>15</v>
      </c>
      <c r="I5" s="6" t="s">
        <v>1697</v>
      </c>
      <c r="J5" s="6" t="s">
        <v>1698</v>
      </c>
    </row>
    <row r="6" spans="1:10" s="6" customFormat="1" ht="409.6" x14ac:dyDescent="0.3">
      <c r="A6" s="6" t="str">
        <f>HYPERLINK("https://grants.gov/search-results-detail/332138","EDA-PHI-TA-PRO-2021-2006851")</f>
        <v>EDA-PHI-TA-PRO-2021-2006851</v>
      </c>
      <c r="B6" s="6" t="s">
        <v>1706</v>
      </c>
      <c r="C6" s="6" t="s">
        <v>1695</v>
      </c>
      <c r="D6" s="6" t="s">
        <v>1696</v>
      </c>
      <c r="F6" s="8">
        <v>300000</v>
      </c>
      <c r="G6" s="8">
        <v>0</v>
      </c>
      <c r="I6" s="6" t="s">
        <v>1707</v>
      </c>
      <c r="J6" s="6" t="s">
        <v>1708</v>
      </c>
    </row>
    <row r="7" spans="1:10" s="6" customFormat="1" ht="409.6" x14ac:dyDescent="0.3">
      <c r="A7" s="6" t="str">
        <f>HYPERLINK("https://grants.gov/search-results-detail/332052","EDA-ATL-TA-ATRO-2021-2006846")</f>
        <v>EDA-ATL-TA-ATRO-2021-2006846</v>
      </c>
      <c r="B7" s="6" t="s">
        <v>1709</v>
      </c>
      <c r="C7" s="6" t="s">
        <v>1695</v>
      </c>
      <c r="D7" s="6" t="s">
        <v>1696</v>
      </c>
      <c r="F7" s="8">
        <v>300000</v>
      </c>
      <c r="G7" s="8">
        <v>0</v>
      </c>
      <c r="I7" s="6" t="s">
        <v>1710</v>
      </c>
      <c r="J7" s="6" t="s">
        <v>1711</v>
      </c>
    </row>
    <row r="8" spans="1:10" s="6" customFormat="1" ht="409.6" x14ac:dyDescent="0.3">
      <c r="A8" s="6" t="str">
        <f>HYPERLINK("https://grants.gov/search-results-detail/332137","EDA-AUS-TA-AURO-2021-2006848")</f>
        <v>EDA-AUS-TA-AURO-2021-2006848</v>
      </c>
      <c r="B8" s="6" t="s">
        <v>1712</v>
      </c>
      <c r="C8" s="6" t="s">
        <v>1695</v>
      </c>
      <c r="D8" s="6" t="s">
        <v>1696</v>
      </c>
      <c r="F8" s="8">
        <v>300000</v>
      </c>
      <c r="G8" s="8">
        <v>0</v>
      </c>
      <c r="I8" s="6" t="s">
        <v>1713</v>
      </c>
      <c r="J8" s="6" t="s">
        <v>1714</v>
      </c>
    </row>
    <row r="9" spans="1:10" s="6" customFormat="1" ht="409.6" x14ac:dyDescent="0.3">
      <c r="A9" s="6" t="str">
        <f>HYPERLINK("https://grants.gov/search-results-detail/332126","EDA-DEN-TA-DRO-2021-2006850")</f>
        <v>EDA-DEN-TA-DRO-2021-2006850</v>
      </c>
      <c r="B9" s="6" t="s">
        <v>1715</v>
      </c>
      <c r="C9" s="6" t="s">
        <v>1695</v>
      </c>
      <c r="D9" s="6" t="s">
        <v>1696</v>
      </c>
      <c r="F9" s="8">
        <v>300000</v>
      </c>
      <c r="G9" s="8">
        <v>0</v>
      </c>
      <c r="I9" s="6" t="s">
        <v>1716</v>
      </c>
      <c r="J9" s="6" t="s">
        <v>1717</v>
      </c>
    </row>
    <row r="10" spans="1:10" s="6" customFormat="1" ht="409.6" x14ac:dyDescent="0.3">
      <c r="A10" s="6" t="str">
        <f>HYPERLINK("https://grants.gov/search-results-detail/332127","EDA-SEA-TA-SRO-2021-2006853")</f>
        <v>EDA-SEA-TA-SRO-2021-2006853</v>
      </c>
      <c r="B10" s="6" t="s">
        <v>1718</v>
      </c>
      <c r="C10" s="6" t="s">
        <v>1695</v>
      </c>
      <c r="D10" s="6" t="s">
        <v>1696</v>
      </c>
      <c r="F10" s="8">
        <v>300000</v>
      </c>
      <c r="G10" s="8">
        <v>0</v>
      </c>
      <c r="I10" s="6" t="s">
        <v>1719</v>
      </c>
      <c r="J10" s="6" t="s">
        <v>1714</v>
      </c>
    </row>
    <row r="11" spans="1:10" s="6" customFormat="1" ht="409.6" x14ac:dyDescent="0.3">
      <c r="A11" s="6" t="str">
        <f>HYPERLINK("https://grants.gov/search-results-detail/332125","EDA-CHI-TA-CRO-2021-2006849")</f>
        <v>EDA-CHI-TA-CRO-2021-2006849</v>
      </c>
      <c r="B11" s="6" t="s">
        <v>1720</v>
      </c>
      <c r="C11" s="6" t="s">
        <v>1695</v>
      </c>
      <c r="D11" s="6" t="s">
        <v>1696</v>
      </c>
      <c r="F11" s="8">
        <v>300000</v>
      </c>
      <c r="G11" s="8">
        <v>0</v>
      </c>
      <c r="I11" s="6" t="s">
        <v>1721</v>
      </c>
      <c r="J11" s="6" t="s">
        <v>1714</v>
      </c>
    </row>
    <row r="12" spans="1:10" s="6" customFormat="1" ht="409.6" x14ac:dyDescent="0.3">
      <c r="A12" s="6" t="str">
        <f>HYPERLINK("https://grants.gov/search-results-detail/103313","NOAA-OAR-CPO-2012-2003041")</f>
        <v>NOAA-OAR-CPO-2012-2003041</v>
      </c>
      <c r="B12" s="6" t="s">
        <v>2006</v>
      </c>
      <c r="C12" s="6" t="s">
        <v>1695</v>
      </c>
      <c r="D12" s="6" t="s">
        <v>1696</v>
      </c>
      <c r="F12" s="8"/>
      <c r="G12" s="8"/>
      <c r="H12" s="6">
        <v>60</v>
      </c>
      <c r="I12" s="6" t="s">
        <v>2007</v>
      </c>
      <c r="J12" s="6" t="s">
        <v>2008</v>
      </c>
    </row>
    <row r="13" spans="1:10" s="6" customFormat="1" ht="244.8" x14ac:dyDescent="0.3">
      <c r="A13" s="6" t="str">
        <f>HYPERLINK("https://grants.gov/search-results-detail/357156","NOAA-NMFS-PIR-2025-29385")</f>
        <v>NOAA-NMFS-PIR-2025-29385</v>
      </c>
      <c r="B13" s="6" t="s">
        <v>1062</v>
      </c>
      <c r="C13" s="6" t="s">
        <v>76</v>
      </c>
      <c r="D13" s="6" t="s">
        <v>77</v>
      </c>
      <c r="E13" s="7">
        <v>45705</v>
      </c>
      <c r="F13" s="8">
        <v>200000</v>
      </c>
      <c r="G13" s="8">
        <v>15000</v>
      </c>
      <c r="I13" s="6" t="s">
        <v>1063</v>
      </c>
      <c r="J13" s="6" t="s">
        <v>1064</v>
      </c>
    </row>
    <row r="14" spans="1:10" s="6" customFormat="1" ht="302.39999999999998" x14ac:dyDescent="0.3">
      <c r="A14" s="6" t="str">
        <f>HYPERLINK("https://grants.gov/search-results-detail/357926","NOAA-NMFS-OHC-2025-29484")</f>
        <v>NOAA-NMFS-OHC-2025-29484</v>
      </c>
      <c r="B14" s="6" t="s">
        <v>615</v>
      </c>
      <c r="C14" s="6" t="s">
        <v>76</v>
      </c>
      <c r="D14" s="6" t="s">
        <v>77</v>
      </c>
      <c r="E14" s="7">
        <v>45713</v>
      </c>
      <c r="F14" s="8">
        <v>300000</v>
      </c>
      <c r="G14" s="8">
        <v>125000</v>
      </c>
      <c r="I14" s="6" t="s">
        <v>616</v>
      </c>
      <c r="J14" s="6" t="s">
        <v>617</v>
      </c>
    </row>
    <row r="15" spans="1:10" s="6" customFormat="1" ht="409.6" x14ac:dyDescent="0.3">
      <c r="A15" s="6" t="str">
        <f>HYPERLINK("https://grants.gov/search-results-detail/357311","NOAA-OAR-SG-2025-29312")</f>
        <v>NOAA-OAR-SG-2025-29312</v>
      </c>
      <c r="B15" s="6" t="s">
        <v>1039</v>
      </c>
      <c r="C15" s="6" t="s">
        <v>76</v>
      </c>
      <c r="D15" s="6" t="s">
        <v>77</v>
      </c>
      <c r="E15" s="7">
        <v>45714</v>
      </c>
      <c r="F15" s="8">
        <v>250000</v>
      </c>
      <c r="G15" s="8">
        <v>100000</v>
      </c>
      <c r="I15" s="6" t="s">
        <v>1040</v>
      </c>
      <c r="J15" s="6" t="s">
        <v>1041</v>
      </c>
    </row>
    <row r="16" spans="1:10" s="6" customFormat="1" ht="115.2" x14ac:dyDescent="0.3">
      <c r="A16" s="6" t="str">
        <f>HYPERLINK("https://grants.gov/search-results-detail/357428","NOAA-NMFS-PIR-2025-29397")</f>
        <v>NOAA-NMFS-PIR-2025-29397</v>
      </c>
      <c r="B16" s="6" t="s">
        <v>984</v>
      </c>
      <c r="C16" s="6" t="s">
        <v>76</v>
      </c>
      <c r="D16" s="6" t="s">
        <v>77</v>
      </c>
      <c r="E16" s="7">
        <v>45716</v>
      </c>
      <c r="F16" s="8">
        <v>15000</v>
      </c>
      <c r="G16" s="8">
        <v>10000</v>
      </c>
      <c r="I16" s="6" t="s">
        <v>985</v>
      </c>
      <c r="J16" s="6" t="s">
        <v>986</v>
      </c>
    </row>
    <row r="17" spans="1:10" s="6" customFormat="1" ht="316.8" x14ac:dyDescent="0.3">
      <c r="A17" s="6" t="str">
        <f>HYPERLINK("https://grants.gov/search-results-detail/357517","NOAA-NMFS-WCRO-2025-29229")</f>
        <v>NOAA-NMFS-WCRO-2025-29229</v>
      </c>
      <c r="B17" s="6" t="s">
        <v>931</v>
      </c>
      <c r="C17" s="6" t="s">
        <v>76</v>
      </c>
      <c r="D17" s="6" t="s">
        <v>77</v>
      </c>
      <c r="E17" s="7">
        <v>45720</v>
      </c>
      <c r="F17" s="8">
        <v>25000000</v>
      </c>
      <c r="G17" s="8">
        <v>0</v>
      </c>
      <c r="I17" s="6" t="s">
        <v>932</v>
      </c>
      <c r="J17" s="6" t="s">
        <v>933</v>
      </c>
    </row>
    <row r="18" spans="1:10" s="6" customFormat="1" ht="288" x14ac:dyDescent="0.3">
      <c r="A18" s="6" t="str">
        <f>HYPERLINK("https://grants.gov/search-results-detail/356454","NOAA-OAR-OAP-2025-28235")</f>
        <v>NOAA-OAR-OAP-2025-28235</v>
      </c>
      <c r="B18" s="6" t="s">
        <v>1216</v>
      </c>
      <c r="C18" s="6" t="s">
        <v>76</v>
      </c>
      <c r="D18" s="6" t="s">
        <v>77</v>
      </c>
      <c r="E18" s="7">
        <v>45721</v>
      </c>
      <c r="F18" s="8">
        <v>400000</v>
      </c>
      <c r="G18" s="8">
        <v>100000</v>
      </c>
      <c r="I18" s="6" t="s">
        <v>1217</v>
      </c>
      <c r="J18" s="6" t="s">
        <v>1218</v>
      </c>
    </row>
    <row r="19" spans="1:10" s="6" customFormat="1" ht="409.6" x14ac:dyDescent="0.3">
      <c r="A19" s="6" t="str">
        <f>HYPERLINK("https://grants.gov/search-results-detail/357940","NOAA-NOS-ONMS-2025-29638")</f>
        <v>NOAA-NOS-ONMS-2025-29638</v>
      </c>
      <c r="B19" s="6" t="s">
        <v>592</v>
      </c>
      <c r="C19" s="6" t="s">
        <v>76</v>
      </c>
      <c r="D19" s="6" t="s">
        <v>77</v>
      </c>
      <c r="E19" s="7">
        <v>45723</v>
      </c>
      <c r="F19" s="8">
        <v>150000</v>
      </c>
      <c r="G19" s="8">
        <v>60000</v>
      </c>
      <c r="H19" s="6">
        <v>15</v>
      </c>
      <c r="I19" s="6" t="s">
        <v>593</v>
      </c>
      <c r="J19" s="6" t="s">
        <v>594</v>
      </c>
    </row>
    <row r="20" spans="1:10" s="6" customFormat="1" ht="409.6" x14ac:dyDescent="0.3">
      <c r="A20" s="6" t="str">
        <f>HYPERLINK("https://grants.gov/search-results-detail/357167","NOAA-OAR-SG-2025-29114")</f>
        <v>NOAA-OAR-SG-2025-29114</v>
      </c>
      <c r="B20" s="6" t="s">
        <v>1073</v>
      </c>
      <c r="C20" s="6" t="s">
        <v>76</v>
      </c>
      <c r="D20" s="6" t="s">
        <v>77</v>
      </c>
      <c r="E20" s="7">
        <v>45729</v>
      </c>
      <c r="F20" s="8">
        <v>240120</v>
      </c>
      <c r="G20" s="8">
        <v>10000</v>
      </c>
      <c r="I20" s="6" t="s">
        <v>1074</v>
      </c>
      <c r="J20" s="6" t="s">
        <v>1075</v>
      </c>
    </row>
    <row r="21" spans="1:10" s="6" customFormat="1" ht="409.6" x14ac:dyDescent="0.3">
      <c r="A21" s="6" t="str">
        <f>HYPERLINK("https://grants.gov/search-results-detail/356917","NOAA-OAR-SG-2025-29019")</f>
        <v>NOAA-OAR-SG-2025-29019</v>
      </c>
      <c r="B21" s="6" t="s">
        <v>1139</v>
      </c>
      <c r="C21" s="6" t="s">
        <v>76</v>
      </c>
      <c r="D21" s="6" t="s">
        <v>77</v>
      </c>
      <c r="E21" s="7">
        <v>45735</v>
      </c>
      <c r="F21" s="8">
        <v>1000000</v>
      </c>
      <c r="G21" s="8">
        <v>100000</v>
      </c>
      <c r="I21" s="6" t="s">
        <v>1140</v>
      </c>
      <c r="J21" s="6" t="s">
        <v>1141</v>
      </c>
    </row>
    <row r="22" spans="1:10" s="6" customFormat="1" ht="144" x14ac:dyDescent="0.3">
      <c r="A22" s="6" t="str">
        <f>HYPERLINK("https://grants.gov/search-results-detail/356668","NOAA-NMFS-FHQ-2025-28846")</f>
        <v>NOAA-NMFS-FHQ-2025-28846</v>
      </c>
      <c r="B22" s="6" t="s">
        <v>1192</v>
      </c>
      <c r="C22" s="6" t="s">
        <v>76</v>
      </c>
      <c r="D22" s="6" t="s">
        <v>77</v>
      </c>
      <c r="E22" s="7">
        <v>45737</v>
      </c>
      <c r="F22" s="8">
        <v>350000</v>
      </c>
      <c r="G22" s="8">
        <v>50000</v>
      </c>
      <c r="I22" s="6" t="s">
        <v>1193</v>
      </c>
      <c r="J22" s="6" t="s">
        <v>1194</v>
      </c>
    </row>
    <row r="23" spans="1:10" s="6" customFormat="1" ht="409.6" x14ac:dyDescent="0.3">
      <c r="A23" s="6" t="str">
        <f>HYPERLINK("https://grants.gov/search-results-detail/357699","NOAA-OAR-SG-2025-29573")</f>
        <v>NOAA-OAR-SG-2025-29573</v>
      </c>
      <c r="B23" s="6" t="s">
        <v>828</v>
      </c>
      <c r="C23" s="6" t="s">
        <v>76</v>
      </c>
      <c r="D23" s="6" t="s">
        <v>77</v>
      </c>
      <c r="E23" s="7">
        <v>45742</v>
      </c>
      <c r="F23" s="8">
        <v>75000</v>
      </c>
      <c r="G23" s="8">
        <v>0</v>
      </c>
      <c r="H23" s="6">
        <v>10</v>
      </c>
      <c r="I23" s="6" t="s">
        <v>829</v>
      </c>
      <c r="J23" s="6" t="s">
        <v>830</v>
      </c>
    </row>
    <row r="24" spans="1:10" s="6" customFormat="1" ht="409.6" x14ac:dyDescent="0.3">
      <c r="A24" s="6" t="str">
        <f>HYPERLINK("https://grants.gov/search-results-detail/357559","NOAA-NMFS-HCPO-2025-29526")</f>
        <v>NOAA-NMFS-HCPO-2025-29526</v>
      </c>
      <c r="B24" s="6" t="s">
        <v>905</v>
      </c>
      <c r="C24" s="6" t="s">
        <v>76</v>
      </c>
      <c r="D24" s="6" t="s">
        <v>77</v>
      </c>
      <c r="E24" s="7">
        <v>45763</v>
      </c>
      <c r="F24" s="8">
        <v>10000000</v>
      </c>
      <c r="G24" s="8">
        <v>750000</v>
      </c>
      <c r="I24" s="6" t="s">
        <v>906</v>
      </c>
      <c r="J24" s="6" t="s">
        <v>907</v>
      </c>
    </row>
    <row r="25" spans="1:10" s="6" customFormat="1" ht="273.60000000000002" x14ac:dyDescent="0.3">
      <c r="A25" s="6" t="str">
        <f>HYPERLINK("https://grants.gov/search-results-detail/357552","NOAA-OAR-SG-2026-29505")</f>
        <v>NOAA-OAR-SG-2026-29505</v>
      </c>
      <c r="B25" s="6" t="s">
        <v>923</v>
      </c>
      <c r="C25" s="6" t="s">
        <v>76</v>
      </c>
      <c r="D25" s="6" t="s">
        <v>77</v>
      </c>
      <c r="E25" s="7">
        <v>45763</v>
      </c>
      <c r="F25" s="8">
        <v>96500</v>
      </c>
      <c r="G25" s="8">
        <v>96500</v>
      </c>
      <c r="I25" s="6" t="s">
        <v>924</v>
      </c>
      <c r="J25" s="6" t="s">
        <v>925</v>
      </c>
    </row>
    <row r="26" spans="1:10" s="6" customFormat="1" ht="409.6" x14ac:dyDescent="0.3">
      <c r="A26" s="6" t="str">
        <f>HYPERLINK("https://grants.gov/search-results-detail/357533","NOAA-OAR-SG-2025-29472")</f>
        <v>NOAA-OAR-SG-2025-29472</v>
      </c>
      <c r="B26" s="6" t="s">
        <v>929</v>
      </c>
      <c r="C26" s="6" t="s">
        <v>76</v>
      </c>
      <c r="D26" s="6" t="s">
        <v>77</v>
      </c>
      <c r="E26" s="7">
        <v>45763</v>
      </c>
      <c r="F26" s="8">
        <v>15000</v>
      </c>
      <c r="G26" s="8">
        <v>0</v>
      </c>
      <c r="H26" s="6">
        <v>10</v>
      </c>
      <c r="I26" s="6" t="s">
        <v>829</v>
      </c>
      <c r="J26" s="6" t="s">
        <v>930</v>
      </c>
    </row>
    <row r="27" spans="1:10" s="6" customFormat="1" ht="360" x14ac:dyDescent="0.3">
      <c r="A27" s="6" t="str">
        <f>HYPERLINK("https://grants.gov/search-results-detail/358376","NOAA-NMFS-HCPO-2025-29770")</f>
        <v>NOAA-NMFS-HCPO-2025-29770</v>
      </c>
      <c r="B27" s="6" t="s">
        <v>75</v>
      </c>
      <c r="C27" s="6" t="s">
        <v>76</v>
      </c>
      <c r="D27" s="6" t="s">
        <v>77</v>
      </c>
      <c r="E27" s="7">
        <v>45765</v>
      </c>
      <c r="F27" s="8">
        <v>225000</v>
      </c>
      <c r="G27" s="8">
        <v>25000</v>
      </c>
      <c r="I27" s="6" t="s">
        <v>78</v>
      </c>
      <c r="J27" s="6" t="s">
        <v>79</v>
      </c>
    </row>
    <row r="28" spans="1:10" s="6" customFormat="1" ht="409.6" x14ac:dyDescent="0.3">
      <c r="A28" s="6" t="str">
        <f>HYPERLINK("https://grants.gov/search-results-detail/357450","NOAA-OAR-SG-2025-29392")</f>
        <v>NOAA-OAR-SG-2025-29392</v>
      </c>
      <c r="B28" s="6" t="s">
        <v>976</v>
      </c>
      <c r="C28" s="6" t="s">
        <v>76</v>
      </c>
      <c r="D28" s="6" t="s">
        <v>77</v>
      </c>
      <c r="E28" s="7">
        <v>45770</v>
      </c>
      <c r="F28" s="8">
        <v>400000</v>
      </c>
      <c r="G28" s="8">
        <v>200000</v>
      </c>
      <c r="I28" s="6" t="s">
        <v>977</v>
      </c>
      <c r="J28" s="6" t="s">
        <v>978</v>
      </c>
    </row>
    <row r="29" spans="1:10" s="6" customFormat="1" ht="409.6" x14ac:dyDescent="0.3">
      <c r="A29" s="6" t="str">
        <f>HYPERLINK("https://grants.gov/search-results-detail/357707","NOAA-NMFS-HCPO-2025-29689")</f>
        <v>NOAA-NMFS-HCPO-2025-29689</v>
      </c>
      <c r="B29" s="6" t="s">
        <v>806</v>
      </c>
      <c r="C29" s="6" t="s">
        <v>76</v>
      </c>
      <c r="D29" s="6" t="s">
        <v>77</v>
      </c>
      <c r="E29" s="7">
        <v>45789</v>
      </c>
      <c r="F29" s="8">
        <v>2000000</v>
      </c>
      <c r="G29" s="8">
        <v>75000</v>
      </c>
      <c r="I29" s="6" t="s">
        <v>807</v>
      </c>
      <c r="J29" s="6" t="s">
        <v>808</v>
      </c>
    </row>
    <row r="30" spans="1:10" s="6" customFormat="1" ht="331.2" x14ac:dyDescent="0.3">
      <c r="A30" s="6" t="str">
        <f>HYPERLINK("https://grants.gov/search-results-detail/356231","NOAA-NMFS-HCPO-2024-28122")</f>
        <v>NOAA-NMFS-HCPO-2024-28122</v>
      </c>
      <c r="B30" s="6" t="s">
        <v>1239</v>
      </c>
      <c r="C30" s="6" t="s">
        <v>76</v>
      </c>
      <c r="D30" s="6" t="s">
        <v>77</v>
      </c>
      <c r="F30" s="8">
        <v>30000000</v>
      </c>
      <c r="G30" s="8">
        <v>250000</v>
      </c>
      <c r="I30" s="6" t="s">
        <v>1240</v>
      </c>
      <c r="J30" s="6" t="s">
        <v>1241</v>
      </c>
    </row>
    <row r="31" spans="1:10" s="6" customFormat="1" ht="331.2" x14ac:dyDescent="0.3">
      <c r="A31" s="6" t="str">
        <f>HYPERLINK("https://grants.gov/search-results-detail/347414","EDA-DISASTER-2023")</f>
        <v>EDA-DISASTER-2023</v>
      </c>
      <c r="B31" s="6" t="s">
        <v>1488</v>
      </c>
      <c r="C31" s="6" t="s">
        <v>1489</v>
      </c>
      <c r="D31" s="6" t="s">
        <v>1490</v>
      </c>
      <c r="F31" s="8">
        <v>30000000</v>
      </c>
      <c r="G31" s="8">
        <v>0</v>
      </c>
      <c r="H31" s="6">
        <v>150</v>
      </c>
      <c r="I31" s="6" t="s">
        <v>1491</v>
      </c>
      <c r="J31" s="6" t="s">
        <v>1492</v>
      </c>
    </row>
    <row r="32" spans="1:10" s="6" customFormat="1" ht="403.2" x14ac:dyDescent="0.3">
      <c r="A32" s="6" t="str">
        <f>HYPERLINK("https://grants.gov/search-results-detail/346815","PWEAA2023")</f>
        <v>PWEAA2023</v>
      </c>
      <c r="B32" s="6" t="s">
        <v>1525</v>
      </c>
      <c r="C32" s="6" t="s">
        <v>1489</v>
      </c>
      <c r="D32" s="6" t="s">
        <v>1490</v>
      </c>
      <c r="F32" s="8">
        <v>30000000</v>
      </c>
      <c r="G32" s="8">
        <v>100000</v>
      </c>
      <c r="H32" s="6">
        <v>3000</v>
      </c>
      <c r="I32" s="6" t="s">
        <v>1526</v>
      </c>
      <c r="J32" s="6" t="s">
        <v>1527</v>
      </c>
    </row>
    <row r="33" spans="1:10" s="6" customFormat="1" ht="86.4" x14ac:dyDescent="0.3">
      <c r="A33" s="6" t="str">
        <f>HYPERLINK("https://grants.gov/search-results-detail/358053","ITA-GMX-GTM-2025-00001")</f>
        <v>ITA-GMX-GTM-2025-00001</v>
      </c>
      <c r="B33" s="6" t="s">
        <v>504</v>
      </c>
      <c r="C33" s="6" t="s">
        <v>505</v>
      </c>
      <c r="D33" s="6" t="s">
        <v>506</v>
      </c>
      <c r="E33" s="7">
        <v>45722</v>
      </c>
      <c r="F33" s="8">
        <v>545000</v>
      </c>
      <c r="G33" s="8">
        <v>0</v>
      </c>
      <c r="H33" s="6">
        <v>1</v>
      </c>
      <c r="I33" s="6" t="s">
        <v>507</v>
      </c>
      <c r="J33" s="6" t="s">
        <v>508</v>
      </c>
    </row>
    <row r="34" spans="1:10" s="6" customFormat="1" ht="115.2" x14ac:dyDescent="0.3">
      <c r="A34" s="6" t="str">
        <f>HYPERLINK("https://grants.gov/search-results-detail/358185","2025-NIST-SCOCD-01")</f>
        <v>2025-NIST-SCOCD-01</v>
      </c>
      <c r="B34" s="6" t="s">
        <v>364</v>
      </c>
      <c r="C34" s="6" t="s">
        <v>365</v>
      </c>
      <c r="D34" s="6" t="s">
        <v>366</v>
      </c>
      <c r="E34" s="7">
        <v>45761</v>
      </c>
      <c r="F34" s="8"/>
      <c r="G34" s="8"/>
      <c r="H34" s="6">
        <v>8</v>
      </c>
      <c r="I34" s="6" t="s">
        <v>367</v>
      </c>
      <c r="J34" s="6" t="s">
        <v>368</v>
      </c>
    </row>
    <row r="35" spans="1:10" s="6" customFormat="1" ht="172.8" x14ac:dyDescent="0.3">
      <c r="A35" s="6" t="str">
        <f>HYPERLINK("https://grants.gov/search-results-detail/330597","2021-NIST-MEP-CAP-01")</f>
        <v>2021-NIST-MEP-CAP-01</v>
      </c>
      <c r="B35" s="6" t="s">
        <v>1738</v>
      </c>
      <c r="C35" s="6" t="s">
        <v>365</v>
      </c>
      <c r="D35" s="6" t="s">
        <v>366</v>
      </c>
      <c r="F35" s="8"/>
      <c r="G35" s="8"/>
      <c r="I35" s="6" t="s">
        <v>1739</v>
      </c>
      <c r="J35" s="6" t="s">
        <v>1740</v>
      </c>
    </row>
    <row r="36" spans="1:10" s="6" customFormat="1" ht="201.6" x14ac:dyDescent="0.3">
      <c r="A36" s="6" t="str">
        <f>HYPERLINK("https://grants.gov/search-results-detail/323740","2020-NIST-MEP-MDAP-01")</f>
        <v>2020-NIST-MEP-MDAP-01</v>
      </c>
      <c r="B36" s="6" t="s">
        <v>1805</v>
      </c>
      <c r="C36" s="6" t="s">
        <v>365</v>
      </c>
      <c r="D36" s="6" t="s">
        <v>366</v>
      </c>
      <c r="F36" s="8"/>
      <c r="G36" s="8"/>
      <c r="I36" s="6" t="s">
        <v>1806</v>
      </c>
      <c r="J36" s="6" t="s">
        <v>1807</v>
      </c>
    </row>
    <row r="37" spans="1:10" s="6" customFormat="1" ht="187.2" x14ac:dyDescent="0.3">
      <c r="A37" s="6" t="str">
        <f>HYPERLINK("https://grants.gov/search-results-detail/357749","NTIA-PWSCIF-24-02")</f>
        <v>NTIA-PWSCIF-24-02</v>
      </c>
      <c r="B37" s="6" t="s">
        <v>775</v>
      </c>
      <c r="C37" s="6" t="s">
        <v>776</v>
      </c>
      <c r="D37" s="6" t="s">
        <v>777</v>
      </c>
      <c r="E37" s="7">
        <v>45733</v>
      </c>
      <c r="F37" s="8"/>
      <c r="G37" s="8"/>
      <c r="I37" s="6" t="s">
        <v>778</v>
      </c>
      <c r="J37" s="6" t="s">
        <v>779</v>
      </c>
    </row>
    <row r="38" spans="1:10" s="6" customFormat="1" ht="409.6" x14ac:dyDescent="0.3">
      <c r="A38" s="6" t="str">
        <f>HYPERLINK("https://grants.gov/search-results-detail/357934","NOFOAFRLAFOSR20250001")</f>
        <v>NOFOAFRLAFOSR20250001</v>
      </c>
      <c r="B38" s="6" t="s">
        <v>613</v>
      </c>
      <c r="C38" s="6" t="s">
        <v>19</v>
      </c>
      <c r="D38" s="6" t="s">
        <v>20</v>
      </c>
      <c r="E38" s="7">
        <v>45730</v>
      </c>
      <c r="F38" s="8">
        <v>2250000</v>
      </c>
      <c r="G38" s="8">
        <v>600000</v>
      </c>
      <c r="H38" s="6">
        <v>5</v>
      </c>
      <c r="I38" s="6" t="s">
        <v>21</v>
      </c>
      <c r="J38" s="6" t="s">
        <v>614</v>
      </c>
    </row>
    <row r="39" spans="1:10" s="6" customFormat="1" ht="216" x14ac:dyDescent="0.3">
      <c r="A39" s="6" t="str">
        <f>HYPERLINK("https://grants.gov/search-results-detail/358351","NOFOAFRLAFOSR20250003")</f>
        <v>NOFOAFRLAFOSR20250003</v>
      </c>
      <c r="B39" s="6" t="s">
        <v>80</v>
      </c>
      <c r="C39" s="6" t="s">
        <v>19</v>
      </c>
      <c r="D39" s="6" t="s">
        <v>20</v>
      </c>
      <c r="E39" s="7">
        <v>45754</v>
      </c>
      <c r="F39" s="8">
        <v>5750000</v>
      </c>
      <c r="G39" s="8">
        <v>500000</v>
      </c>
      <c r="H39" s="6">
        <v>1</v>
      </c>
      <c r="I39" s="6" t="s">
        <v>21</v>
      </c>
      <c r="J39" s="6" t="s">
        <v>81</v>
      </c>
    </row>
    <row r="40" spans="1:10" s="6" customFormat="1" ht="409.6" x14ac:dyDescent="0.3">
      <c r="A40" s="6" t="str">
        <f>HYPERLINK("https://grants.gov/search-results-detail/358422","NOFOAFRLAFOSR20250004")</f>
        <v>NOFOAFRLAFOSR20250004</v>
      </c>
      <c r="B40" s="6" t="s">
        <v>18</v>
      </c>
      <c r="C40" s="6" t="s">
        <v>19</v>
      </c>
      <c r="D40" s="6" t="s">
        <v>20</v>
      </c>
      <c r="E40" s="7">
        <v>45789</v>
      </c>
      <c r="F40" s="8">
        <v>3750000</v>
      </c>
      <c r="G40" s="8">
        <v>300000</v>
      </c>
      <c r="H40" s="6">
        <v>8</v>
      </c>
      <c r="I40" s="6" t="s">
        <v>21</v>
      </c>
      <c r="J40" s="6" t="s">
        <v>22</v>
      </c>
    </row>
    <row r="41" spans="1:10" s="6" customFormat="1" ht="172.8" x14ac:dyDescent="0.3">
      <c r="A41" s="6" t="str">
        <f>HYPERLINK("https://grants.gov/search-results-detail/345653","FA9550-23-S-0001")</f>
        <v>FA9550-23-S-0001</v>
      </c>
      <c r="B41" s="6" t="s">
        <v>1547</v>
      </c>
      <c r="C41" s="6" t="s">
        <v>19</v>
      </c>
      <c r="D41" s="6" t="s">
        <v>20</v>
      </c>
      <c r="F41" s="8">
        <v>100000000</v>
      </c>
      <c r="G41" s="8">
        <v>3000</v>
      </c>
      <c r="H41" s="6">
        <v>999999</v>
      </c>
      <c r="I41" s="6" t="s">
        <v>1548</v>
      </c>
      <c r="J41" s="6" t="s">
        <v>1549</v>
      </c>
    </row>
    <row r="42" spans="1:10" s="6" customFormat="1" ht="288" x14ac:dyDescent="0.3">
      <c r="A42" s="6" t="str">
        <f>HYPERLINK("https://grants.gov/search-results-detail/286437","BAA-AFRL-AFOSR-2016-0008")</f>
        <v>BAA-AFRL-AFOSR-2016-0008</v>
      </c>
      <c r="B42" s="6" t="s">
        <v>1907</v>
      </c>
      <c r="C42" s="6" t="s">
        <v>19</v>
      </c>
      <c r="D42" s="6" t="s">
        <v>20</v>
      </c>
      <c r="F42" s="8">
        <v>1000000</v>
      </c>
      <c r="G42" s="8">
        <v>1</v>
      </c>
      <c r="H42" s="6">
        <v>200</v>
      </c>
      <c r="I42" s="6" t="s">
        <v>1908</v>
      </c>
      <c r="J42" s="6" t="s">
        <v>1909</v>
      </c>
    </row>
    <row r="43" spans="1:10" s="6" customFormat="1" ht="172.8" x14ac:dyDescent="0.3">
      <c r="A43" s="6" t="str">
        <f>HYPERLINK("https://grants.gov/search-results-detail/327332","FA8650-20-S-6008")</f>
        <v>FA8650-20-S-6008</v>
      </c>
      <c r="B43" s="6" t="s">
        <v>1769</v>
      </c>
      <c r="C43" s="6" t="s">
        <v>1770</v>
      </c>
      <c r="D43" s="6" t="s">
        <v>1771</v>
      </c>
      <c r="E43" s="7">
        <v>45778</v>
      </c>
      <c r="F43" s="8"/>
      <c r="G43" s="8"/>
      <c r="I43" s="6" t="s">
        <v>1023</v>
      </c>
      <c r="J43" s="6" t="s">
        <v>1772</v>
      </c>
    </row>
    <row r="44" spans="1:10" s="6" customFormat="1" ht="388.8" x14ac:dyDescent="0.3">
      <c r="A44" s="6" t="str">
        <f>HYPERLINK("https://grants.gov/search-results-detail/324439","W911NF20S0003")</f>
        <v>W911NF20S0003</v>
      </c>
      <c r="B44" s="6" t="s">
        <v>1797</v>
      </c>
      <c r="C44" s="6" t="s">
        <v>1196</v>
      </c>
      <c r="D44" s="6" t="s">
        <v>1197</v>
      </c>
      <c r="E44" s="7">
        <v>45707</v>
      </c>
      <c r="F44" s="8"/>
      <c r="G44" s="8"/>
      <c r="I44" s="6" t="s">
        <v>1798</v>
      </c>
      <c r="J44" s="6" t="s">
        <v>1799</v>
      </c>
    </row>
    <row r="45" spans="1:10" s="6" customFormat="1" ht="409.6" x14ac:dyDescent="0.3">
      <c r="A45" s="6" t="str">
        <f>HYPERLINK("https://grants.gov/search-results-detail/325932","W911NF-20-S-0008")</f>
        <v>W911NF-20-S-0008</v>
      </c>
      <c r="B45" s="6" t="s">
        <v>1787</v>
      </c>
      <c r="C45" s="6" t="s">
        <v>1196</v>
      </c>
      <c r="D45" s="6" t="s">
        <v>1197</v>
      </c>
      <c r="E45" s="7">
        <v>45747</v>
      </c>
      <c r="F45" s="8"/>
      <c r="G45" s="8"/>
      <c r="I45" s="6" t="s">
        <v>1788</v>
      </c>
      <c r="J45" s="6" t="s">
        <v>1789</v>
      </c>
    </row>
    <row r="46" spans="1:10" s="6" customFormat="1" ht="345.6" x14ac:dyDescent="0.3">
      <c r="A46" s="6" t="str">
        <f>HYPERLINK("https://grants.gov/search-results-detail/356583","W911NF-25-S-0001")</f>
        <v>W911NF-25-S-0001</v>
      </c>
      <c r="B46" s="6" t="s">
        <v>1195</v>
      </c>
      <c r="C46" s="6" t="s">
        <v>1196</v>
      </c>
      <c r="D46" s="6" t="s">
        <v>1197</v>
      </c>
      <c r="E46" s="7">
        <v>45754</v>
      </c>
      <c r="F46" s="8">
        <v>500000</v>
      </c>
      <c r="G46" s="8"/>
      <c r="H46" s="6">
        <v>6</v>
      </c>
      <c r="I46" s="6" t="s">
        <v>1198</v>
      </c>
      <c r="J46" s="6" t="s">
        <v>1199</v>
      </c>
    </row>
    <row r="47" spans="1:10" s="6" customFormat="1" ht="409.6" x14ac:dyDescent="0.3">
      <c r="A47" s="6" t="str">
        <f>HYPERLINK("https://grants.gov/search-results-detail/339728","W911NF-22-S-0011")</f>
        <v>W911NF-22-S-0011</v>
      </c>
      <c r="B47" s="6" t="s">
        <v>1636</v>
      </c>
      <c r="C47" s="6" t="s">
        <v>1196</v>
      </c>
      <c r="D47" s="6" t="s">
        <v>1197</v>
      </c>
      <c r="F47" s="8">
        <v>2300000</v>
      </c>
      <c r="G47" s="8">
        <v>100000</v>
      </c>
      <c r="I47" s="6" t="s">
        <v>1637</v>
      </c>
      <c r="J47" s="6" t="s">
        <v>1638</v>
      </c>
    </row>
    <row r="48" spans="1:10" s="6" customFormat="1" ht="409.6" x14ac:dyDescent="0.3">
      <c r="A48" s="6" t="str">
        <f>HYPERLINK("https://grants.gov/search-results-detail/326841","W911NF-17-S-0003-SPECIALNOTICE-LC-CSAC")</f>
        <v>W911NF-17-S-0003-SPECIALNOTICE-LC-CSAC</v>
      </c>
      <c r="B48" s="6" t="s">
        <v>1779</v>
      </c>
      <c r="C48" s="6" t="s">
        <v>1196</v>
      </c>
      <c r="D48" s="6" t="s">
        <v>1197</v>
      </c>
      <c r="F48" s="8"/>
      <c r="G48" s="8"/>
      <c r="I48" s="6" t="s">
        <v>1780</v>
      </c>
      <c r="J48" s="6" t="s">
        <v>1781</v>
      </c>
    </row>
    <row r="49" spans="1:10" s="6" customFormat="1" ht="86.4" x14ac:dyDescent="0.3">
      <c r="A49" s="6" t="str">
        <f>HYPERLINK("https://grants.gov/search-results-detail/357855","DOD2025APEXACCELERATORMAIN")</f>
        <v>DOD2025APEXACCELERATORMAIN</v>
      </c>
      <c r="B49" s="6" t="s">
        <v>695</v>
      </c>
      <c r="C49" s="6" t="s">
        <v>696</v>
      </c>
      <c r="D49" s="6" t="s">
        <v>697</v>
      </c>
      <c r="E49" s="7">
        <v>45705</v>
      </c>
      <c r="F49" s="8">
        <v>878444</v>
      </c>
      <c r="G49" s="8">
        <v>60000</v>
      </c>
      <c r="H49" s="6">
        <v>2</v>
      </c>
      <c r="I49" s="6" t="s">
        <v>698</v>
      </c>
      <c r="J49" s="6" t="s">
        <v>699</v>
      </c>
    </row>
    <row r="50" spans="1:10" s="6" customFormat="1" ht="201.6" x14ac:dyDescent="0.3">
      <c r="A50" s="6" t="str">
        <f>HYPERLINK("https://grants.gov/search-results-detail/358240","W911SR-25-R-ASEC")</f>
        <v>W911SR-25-R-ASEC</v>
      </c>
      <c r="B50" s="6" t="s">
        <v>322</v>
      </c>
      <c r="C50" s="6" t="s">
        <v>323</v>
      </c>
      <c r="D50" s="6" t="s">
        <v>324</v>
      </c>
      <c r="E50" s="7">
        <v>45730</v>
      </c>
      <c r="F50" s="8">
        <v>277000000</v>
      </c>
      <c r="G50" s="8">
        <v>52000000</v>
      </c>
      <c r="I50" s="6" t="s">
        <v>325</v>
      </c>
      <c r="J50" s="6" t="s">
        <v>326</v>
      </c>
    </row>
    <row r="51" spans="1:10" s="6" customFormat="1" ht="86.4" x14ac:dyDescent="0.3">
      <c r="A51" s="6" t="str">
        <f>HYPERLINK("https://grants.gov/search-results-detail/327285","W911QY20R0022")</f>
        <v>W911QY20R0022</v>
      </c>
      <c r="B51" s="6" t="s">
        <v>1764</v>
      </c>
      <c r="C51" s="6" t="s">
        <v>1765</v>
      </c>
      <c r="D51" s="6" t="s">
        <v>1766</v>
      </c>
      <c r="E51" s="7">
        <v>45716</v>
      </c>
      <c r="F51" s="8"/>
      <c r="G51" s="8"/>
      <c r="H51" s="6">
        <v>50</v>
      </c>
      <c r="I51" s="6" t="s">
        <v>1767</v>
      </c>
      <c r="J51" s="6" t="s">
        <v>1768</v>
      </c>
    </row>
    <row r="52" spans="1:10" s="6" customFormat="1" ht="409.6" x14ac:dyDescent="0.3">
      <c r="A52" s="6" t="str">
        <f>HYPERLINK("https://grants.gov/search-results-detail/358432","W81EWF-25-SOI-0004")</f>
        <v>W81EWF-25-SOI-0004</v>
      </c>
      <c r="B52" s="6" t="s">
        <v>5</v>
      </c>
      <c r="C52" s="6" t="s">
        <v>6</v>
      </c>
      <c r="D52" s="6" t="s">
        <v>7</v>
      </c>
      <c r="E52" s="7">
        <v>45761</v>
      </c>
      <c r="F52" s="8">
        <v>120000</v>
      </c>
      <c r="G52" s="8">
        <v>0</v>
      </c>
      <c r="H52" s="6">
        <v>1</v>
      </c>
      <c r="I52" s="6" t="s">
        <v>8</v>
      </c>
      <c r="J52" s="6" t="s">
        <v>9</v>
      </c>
    </row>
    <row r="53" spans="1:10" s="6" customFormat="1" ht="100.8" x14ac:dyDescent="0.3">
      <c r="A53" s="6" t="str">
        <f>HYPERLINK("https://grants.gov/search-results-detail/358401","HR001125S0008")</f>
        <v>HR001125S0008</v>
      </c>
      <c r="B53" s="6" t="s">
        <v>42</v>
      </c>
      <c r="C53" s="6" t="s">
        <v>43</v>
      </c>
      <c r="D53" s="6" t="s">
        <v>44</v>
      </c>
      <c r="E53" s="7">
        <v>45729</v>
      </c>
      <c r="F53" s="8"/>
      <c r="G53" s="8"/>
      <c r="I53" s="6" t="s">
        <v>45</v>
      </c>
      <c r="J53" s="6" t="s">
        <v>46</v>
      </c>
    </row>
    <row r="54" spans="1:10" s="6" customFormat="1" ht="57.6" x14ac:dyDescent="0.3">
      <c r="A54" s="6" t="str">
        <f>HYPERLINK("https://grants.gov/search-results-detail/354134","HR001124S0028")</f>
        <v>HR001124S0028</v>
      </c>
      <c r="B54" s="6" t="s">
        <v>1303</v>
      </c>
      <c r="C54" s="6" t="s">
        <v>1304</v>
      </c>
      <c r="D54" s="6" t="s">
        <v>1305</v>
      </c>
      <c r="E54" s="7">
        <v>45786</v>
      </c>
      <c r="F54" s="8"/>
      <c r="G54" s="8"/>
      <c r="I54" s="6" t="s">
        <v>45</v>
      </c>
      <c r="J54" s="6" t="s">
        <v>1306</v>
      </c>
    </row>
    <row r="55" spans="1:10" s="6" customFormat="1" ht="409.6" x14ac:dyDescent="0.3">
      <c r="A55" s="6" t="str">
        <f>HYPERLINK("https://grants.gov/search-results-detail/355691","N0001424SF007")</f>
        <v>N0001424SF007</v>
      </c>
      <c r="B55" s="6" t="s">
        <v>1264</v>
      </c>
      <c r="C55" s="6" t="s">
        <v>850</v>
      </c>
      <c r="D55" s="6" t="s">
        <v>851</v>
      </c>
      <c r="E55" s="7">
        <v>45730</v>
      </c>
      <c r="F55" s="8">
        <v>3000000</v>
      </c>
      <c r="G55" s="8">
        <v>1000000</v>
      </c>
      <c r="H55" s="6">
        <v>10</v>
      </c>
      <c r="I55" s="6" t="s">
        <v>1203</v>
      </c>
      <c r="J55" s="6" t="s">
        <v>1265</v>
      </c>
    </row>
    <row r="56" spans="1:10" s="6" customFormat="1" ht="409.6" x14ac:dyDescent="0.3">
      <c r="A56" s="6" t="str">
        <f>HYPERLINK("https://grants.gov/search-results-detail/353296","N0001424SB002")</f>
        <v>N0001424SB002</v>
      </c>
      <c r="B56" s="6" t="s">
        <v>1322</v>
      </c>
      <c r="C56" s="6" t="s">
        <v>850</v>
      </c>
      <c r="D56" s="6" t="s">
        <v>851</v>
      </c>
      <c r="E56" s="7">
        <v>45747</v>
      </c>
      <c r="F56" s="8"/>
      <c r="G56" s="8"/>
      <c r="I56" s="6" t="s">
        <v>1323</v>
      </c>
      <c r="J56" s="6" t="s">
        <v>1324</v>
      </c>
    </row>
    <row r="57" spans="1:10" s="6" customFormat="1" ht="409.6" x14ac:dyDescent="0.3">
      <c r="A57" s="6" t="str">
        <f>HYPERLINK("https://grants.gov/search-results-detail/353447","N0001424SF005")</f>
        <v>N0001424SF005</v>
      </c>
      <c r="B57" s="6" t="s">
        <v>1316</v>
      </c>
      <c r="C57" s="6" t="s">
        <v>850</v>
      </c>
      <c r="D57" s="6" t="s">
        <v>851</v>
      </c>
      <c r="E57" s="7">
        <v>45751</v>
      </c>
      <c r="F57" s="8"/>
      <c r="G57" s="8"/>
      <c r="I57" s="6" t="s">
        <v>1317</v>
      </c>
      <c r="J57" s="6" t="s">
        <v>1318</v>
      </c>
    </row>
    <row r="58" spans="1:10" s="6" customFormat="1" ht="409.6" x14ac:dyDescent="0.3">
      <c r="A58" s="6" t="str">
        <f>HYPERLINK("https://grants.gov/search-results-detail/357671","N0001425SBC02")</f>
        <v>N0001425SBC02</v>
      </c>
      <c r="B58" s="6" t="s">
        <v>849</v>
      </c>
      <c r="C58" s="6" t="s">
        <v>850</v>
      </c>
      <c r="D58" s="6" t="s">
        <v>851</v>
      </c>
      <c r="E58" s="7">
        <v>45789</v>
      </c>
      <c r="F58" s="8"/>
      <c r="G58" s="8"/>
      <c r="I58" s="6" t="s">
        <v>852</v>
      </c>
      <c r="J58" s="6" t="s">
        <v>853</v>
      </c>
    </row>
    <row r="59" spans="1:10" s="6" customFormat="1" ht="409.6" x14ac:dyDescent="0.3">
      <c r="A59" s="6" t="str">
        <f>HYPERLINK("https://grants.gov/search-results-detail/352741","N00173-24-S-BA01")</f>
        <v>N00173-24-S-BA01</v>
      </c>
      <c r="B59" s="6" t="s">
        <v>1350</v>
      </c>
      <c r="C59" s="6" t="s">
        <v>1351</v>
      </c>
      <c r="D59" s="6" t="s">
        <v>1352</v>
      </c>
      <c r="E59" s="7">
        <v>45716</v>
      </c>
      <c r="F59" s="8">
        <v>0</v>
      </c>
      <c r="G59" s="8">
        <v>0</v>
      </c>
      <c r="I59" s="6" t="s">
        <v>48</v>
      </c>
      <c r="J59" s="6" t="s">
        <v>1353</v>
      </c>
    </row>
    <row r="60" spans="1:10" s="6" customFormat="1" ht="57.6" x14ac:dyDescent="0.3">
      <c r="A60" s="6" t="str">
        <f>HYPERLINK("https://grants.gov/search-results-detail/292151","N00173-17-S-BA01")</f>
        <v>N00173-17-S-BA01</v>
      </c>
      <c r="B60" s="6" t="s">
        <v>1900</v>
      </c>
      <c r="C60" s="6" t="s">
        <v>1351</v>
      </c>
      <c r="D60" s="6" t="s">
        <v>1352</v>
      </c>
      <c r="F60" s="8">
        <v>0</v>
      </c>
      <c r="G60" s="8">
        <v>0</v>
      </c>
      <c r="I60" s="6" t="s">
        <v>48</v>
      </c>
      <c r="J60" s="6" t="s">
        <v>1901</v>
      </c>
    </row>
    <row r="61" spans="1:10" s="6" customFormat="1" ht="409.6" x14ac:dyDescent="0.3">
      <c r="A61" s="6" t="str">
        <f>HYPERLINK("https://grants.gov/search-results-detail/352238","N0016424SNB35")</f>
        <v>N0016424SNB35</v>
      </c>
      <c r="B61" s="6" t="s">
        <v>1405</v>
      </c>
      <c r="C61" s="6" t="s">
        <v>1406</v>
      </c>
      <c r="D61" s="6" t="s">
        <v>1407</v>
      </c>
      <c r="F61" s="8"/>
      <c r="G61" s="8"/>
      <c r="I61" s="6" t="s">
        <v>48</v>
      </c>
      <c r="J61" s="6" t="s">
        <v>1408</v>
      </c>
    </row>
    <row r="62" spans="1:10" s="6" customFormat="1" ht="360" x14ac:dyDescent="0.3">
      <c r="A62" s="6" t="str">
        <f>HYPERLINK("https://grants.gov/search-results-detail/356602","NSWCCD-25-S-0001")</f>
        <v>NSWCCD-25-S-0001</v>
      </c>
      <c r="B62" s="6" t="s">
        <v>1200</v>
      </c>
      <c r="C62" s="6" t="s">
        <v>1201</v>
      </c>
      <c r="D62" s="6" t="s">
        <v>1202</v>
      </c>
      <c r="E62" s="7">
        <v>45716</v>
      </c>
      <c r="F62" s="8">
        <v>500000</v>
      </c>
      <c r="G62" s="8">
        <v>0</v>
      </c>
      <c r="I62" s="6" t="s">
        <v>1203</v>
      </c>
      <c r="J62" s="6" t="s">
        <v>1204</v>
      </c>
    </row>
    <row r="63" spans="1:10" s="6" customFormat="1" ht="288" x14ac:dyDescent="0.3">
      <c r="A63" s="6" t="str">
        <f>HYPERLINK("https://grants.gov/search-results-detail/330175","FA7000-21-S-0001")</f>
        <v>FA7000-21-S-0001</v>
      </c>
      <c r="B63" s="6" t="s">
        <v>1747</v>
      </c>
      <c r="C63" s="6" t="s">
        <v>1748</v>
      </c>
      <c r="D63" s="6" t="s">
        <v>1749</v>
      </c>
      <c r="F63" s="8">
        <v>99000000</v>
      </c>
      <c r="G63" s="8">
        <v>0</v>
      </c>
      <c r="I63" s="6" t="s">
        <v>1750</v>
      </c>
      <c r="J63" s="6" t="s">
        <v>1751</v>
      </c>
    </row>
    <row r="64" spans="1:10" s="6" customFormat="1" ht="345.6" x14ac:dyDescent="0.3">
      <c r="A64" s="6" t="str">
        <f>HYPERLINK("https://grants.gov/search-results-detail/358380","HQ003425NFOEASD03")</f>
        <v>HQ003425NFOEASD03</v>
      </c>
      <c r="B64" s="6" t="s">
        <v>65</v>
      </c>
      <c r="C64" s="6" t="s">
        <v>66</v>
      </c>
      <c r="D64" s="6" t="s">
        <v>67</v>
      </c>
      <c r="E64" s="7">
        <v>45716</v>
      </c>
      <c r="F64" s="8">
        <v>20000000</v>
      </c>
      <c r="G64" s="8">
        <v>50000</v>
      </c>
      <c r="H64" s="6">
        <v>75</v>
      </c>
      <c r="I64" s="6" t="s">
        <v>68</v>
      </c>
      <c r="J64" s="6" t="s">
        <v>69</v>
      </c>
    </row>
    <row r="65" spans="1:10" s="6" customFormat="1" ht="409.6" x14ac:dyDescent="0.3">
      <c r="A65" s="6" t="str">
        <f>HYPERLINK("https://grants.gov/search-results-detail/356694","HQ003425NFOEASD01")</f>
        <v>HQ003425NFOEASD01</v>
      </c>
      <c r="B65" s="6" t="s">
        <v>1167</v>
      </c>
      <c r="C65" s="6" t="s">
        <v>66</v>
      </c>
      <c r="D65" s="6" t="s">
        <v>67</v>
      </c>
      <c r="E65" s="7">
        <v>45730</v>
      </c>
      <c r="F65" s="8">
        <v>30000000</v>
      </c>
      <c r="G65" s="8">
        <v>1000000</v>
      </c>
      <c r="H65" s="6">
        <v>15</v>
      </c>
      <c r="I65" s="6" t="s">
        <v>1168</v>
      </c>
      <c r="J65" s="6" t="s">
        <v>1169</v>
      </c>
    </row>
    <row r="66" spans="1:10" s="6" customFormat="1" ht="28.8" x14ac:dyDescent="0.3">
      <c r="A66" s="6" t="str">
        <f>HYPERLINK("https://grants.gov/search-results-detail/224533","FOA-ALL")</f>
        <v>FOA-ALL</v>
      </c>
      <c r="B66" s="6" t="s">
        <v>1974</v>
      </c>
      <c r="C66" s="6" t="s">
        <v>1975</v>
      </c>
      <c r="D66" s="6" t="s">
        <v>1976</v>
      </c>
      <c r="F66" s="8">
        <v>0</v>
      </c>
      <c r="G66" s="8">
        <v>0</v>
      </c>
      <c r="H66" s="6">
        <v>0</v>
      </c>
      <c r="I66" s="6" t="s">
        <v>1977</v>
      </c>
      <c r="J66" s="6" t="s">
        <v>1978</v>
      </c>
    </row>
    <row r="67" spans="1:10" s="6" customFormat="1" ht="409.6" x14ac:dyDescent="0.3">
      <c r="A67" s="6" t="str">
        <f>HYPERLINK("https://grants.gov/search-results-detail/358258","DE-FOA-0003556")</f>
        <v>DE-FOA-0003556</v>
      </c>
      <c r="B67" s="6" t="s">
        <v>271</v>
      </c>
      <c r="C67" s="6" t="s">
        <v>194</v>
      </c>
      <c r="D67" s="6" t="s">
        <v>195</v>
      </c>
      <c r="E67" s="7">
        <v>45707</v>
      </c>
      <c r="F67" s="8">
        <v>10000000</v>
      </c>
      <c r="G67" s="8">
        <v>250000</v>
      </c>
      <c r="H67" s="6">
        <v>15</v>
      </c>
      <c r="I67" s="6" t="s">
        <v>196</v>
      </c>
      <c r="J67" s="6" t="s">
        <v>272</v>
      </c>
    </row>
    <row r="68" spans="1:10" s="6" customFormat="1" ht="409.6" x14ac:dyDescent="0.3">
      <c r="A68" s="6" t="str">
        <f>HYPERLINK("https://grants.gov/search-results-detail/357027","DE-FOA-0003499")</f>
        <v>DE-FOA-0003499</v>
      </c>
      <c r="B68" s="6" t="s">
        <v>1113</v>
      </c>
      <c r="C68" s="6" t="s">
        <v>194</v>
      </c>
      <c r="D68" s="6" t="s">
        <v>195</v>
      </c>
      <c r="E68" s="7">
        <v>45719</v>
      </c>
      <c r="F68" s="8">
        <v>10000000</v>
      </c>
      <c r="G68" s="8">
        <v>500000</v>
      </c>
      <c r="H68" s="6">
        <v>12</v>
      </c>
      <c r="I68" s="6" t="s">
        <v>196</v>
      </c>
      <c r="J68" s="6" t="s">
        <v>1114</v>
      </c>
    </row>
    <row r="69" spans="1:10" s="6" customFormat="1" ht="409.6" x14ac:dyDescent="0.3">
      <c r="A69" s="6" t="str">
        <f>HYPERLINK("https://grants.gov/search-results-detail/358293","DE-FOA-0003551")</f>
        <v>DE-FOA-0003551</v>
      </c>
      <c r="B69" s="6" t="s">
        <v>193</v>
      </c>
      <c r="C69" s="6" t="s">
        <v>194</v>
      </c>
      <c r="D69" s="6" t="s">
        <v>195</v>
      </c>
      <c r="E69" s="7">
        <v>45720</v>
      </c>
      <c r="F69" s="8">
        <v>4000000</v>
      </c>
      <c r="G69" s="8">
        <v>250000</v>
      </c>
      <c r="H69" s="6">
        <v>7</v>
      </c>
      <c r="I69" s="6" t="s">
        <v>196</v>
      </c>
      <c r="J69" s="6" t="s">
        <v>197</v>
      </c>
    </row>
    <row r="70" spans="1:10" s="6" customFormat="1" ht="409.6" x14ac:dyDescent="0.3">
      <c r="A70" s="6" t="str">
        <f>HYPERLINK("https://grants.gov/search-results-detail/356730","DE-FOA-0003477")</f>
        <v>DE-FOA-0003477</v>
      </c>
      <c r="B70" s="6" t="s">
        <v>1158</v>
      </c>
      <c r="C70" s="6" t="s">
        <v>194</v>
      </c>
      <c r="D70" s="6" t="s">
        <v>195</v>
      </c>
      <c r="E70" s="7">
        <v>45723</v>
      </c>
      <c r="F70" s="8">
        <v>500000</v>
      </c>
      <c r="G70" s="8">
        <v>1</v>
      </c>
      <c r="H70" s="6">
        <v>20</v>
      </c>
      <c r="I70" s="6" t="s">
        <v>1159</v>
      </c>
      <c r="J70" s="6" t="s">
        <v>1160</v>
      </c>
    </row>
    <row r="71" spans="1:10" s="6" customFormat="1" ht="409.6" x14ac:dyDescent="0.3">
      <c r="A71" s="6" t="str">
        <f>HYPERLINK("https://grants.gov/search-results-detail/358256","DE-FOA-0003547")</f>
        <v>DE-FOA-0003547</v>
      </c>
      <c r="B71" s="6" t="s">
        <v>218</v>
      </c>
      <c r="C71" s="6" t="s">
        <v>214</v>
      </c>
      <c r="D71" s="6" t="s">
        <v>215</v>
      </c>
      <c r="E71" s="7">
        <v>45716</v>
      </c>
      <c r="F71" s="8">
        <v>2</v>
      </c>
      <c r="G71" s="8">
        <v>1</v>
      </c>
      <c r="H71" s="6">
        <v>0</v>
      </c>
      <c r="I71" s="6" t="s">
        <v>48</v>
      </c>
      <c r="J71" s="6" t="s">
        <v>219</v>
      </c>
    </row>
    <row r="72" spans="1:10" s="6" customFormat="1" ht="409.6" x14ac:dyDescent="0.3">
      <c r="A72" s="6" t="str">
        <f>HYPERLINK("https://grants.gov/search-results-detail/357760","DE-FOA-0003535")</f>
        <v>DE-FOA-0003535</v>
      </c>
      <c r="B72" s="6" t="s">
        <v>780</v>
      </c>
      <c r="C72" s="6" t="s">
        <v>214</v>
      </c>
      <c r="D72" s="6" t="s">
        <v>215</v>
      </c>
      <c r="E72" s="7">
        <v>45716</v>
      </c>
      <c r="F72" s="8">
        <v>1</v>
      </c>
      <c r="G72" s="8">
        <v>0</v>
      </c>
      <c r="H72" s="6">
        <v>0</v>
      </c>
      <c r="I72" s="6" t="s">
        <v>48</v>
      </c>
      <c r="J72" s="6" t="s">
        <v>781</v>
      </c>
    </row>
    <row r="73" spans="1:10" s="6" customFormat="1" ht="230.4" x14ac:dyDescent="0.3">
      <c r="A73" s="6" t="str">
        <f>HYPERLINK("https://grants.gov/search-results-detail/358263","DE-FOA-0003507")</f>
        <v>DE-FOA-0003507</v>
      </c>
      <c r="B73" s="6" t="s">
        <v>225</v>
      </c>
      <c r="C73" s="6" t="s">
        <v>214</v>
      </c>
      <c r="D73" s="6" t="s">
        <v>215</v>
      </c>
      <c r="E73" s="7">
        <v>45731</v>
      </c>
      <c r="F73" s="8">
        <v>2</v>
      </c>
      <c r="G73" s="8">
        <v>1</v>
      </c>
      <c r="H73" s="6">
        <v>0</v>
      </c>
      <c r="I73" s="6" t="s">
        <v>48</v>
      </c>
      <c r="J73" s="6" t="s">
        <v>226</v>
      </c>
    </row>
    <row r="74" spans="1:10" s="6" customFormat="1" ht="409.6" x14ac:dyDescent="0.3">
      <c r="A74" s="6" t="str">
        <f>HYPERLINK("https://grants.gov/search-results-detail/358139","DE-FOA-0003525")</f>
        <v>DE-FOA-0003525</v>
      </c>
      <c r="B74" s="6" t="s">
        <v>441</v>
      </c>
      <c r="C74" s="6" t="s">
        <v>214</v>
      </c>
      <c r="D74" s="6" t="s">
        <v>215</v>
      </c>
      <c r="E74" s="7">
        <v>45750</v>
      </c>
      <c r="F74" s="8">
        <v>15000000</v>
      </c>
      <c r="G74" s="8">
        <v>300000</v>
      </c>
      <c r="H74" s="6">
        <v>0</v>
      </c>
      <c r="I74" s="6" t="s">
        <v>442</v>
      </c>
      <c r="J74" s="6" t="s">
        <v>443</v>
      </c>
    </row>
    <row r="75" spans="1:10" s="6" customFormat="1" ht="129.6" x14ac:dyDescent="0.3">
      <c r="A75" s="6" t="str">
        <f>HYPERLINK("https://grants.gov/search-results-detail/358264","DE-FOA-0003527")</f>
        <v>DE-FOA-0003527</v>
      </c>
      <c r="B75" s="6" t="s">
        <v>227</v>
      </c>
      <c r="C75" s="6" t="s">
        <v>214</v>
      </c>
      <c r="D75" s="6" t="s">
        <v>215</v>
      </c>
      <c r="E75" s="7">
        <v>45758</v>
      </c>
      <c r="F75" s="8">
        <v>2</v>
      </c>
      <c r="G75" s="8">
        <v>1</v>
      </c>
      <c r="H75" s="6">
        <v>0</v>
      </c>
      <c r="I75" s="6" t="s">
        <v>48</v>
      </c>
      <c r="J75" s="6" t="s">
        <v>228</v>
      </c>
    </row>
    <row r="76" spans="1:10" s="6" customFormat="1" ht="409.6" x14ac:dyDescent="0.3">
      <c r="A76" s="6" t="str">
        <f>HYPERLINK("https://grants.gov/search-results-detail/347635","DE-FOA-0003026")</f>
        <v>DE-FOA-0003026</v>
      </c>
      <c r="B76" s="6" t="s">
        <v>1498</v>
      </c>
      <c r="C76" s="6" t="s">
        <v>214</v>
      </c>
      <c r="D76" s="6" t="s">
        <v>215</v>
      </c>
      <c r="E76" s="7">
        <v>45765</v>
      </c>
      <c r="F76" s="8">
        <v>10000000</v>
      </c>
      <c r="G76" s="8">
        <v>100000</v>
      </c>
      <c r="H76" s="6">
        <v>100</v>
      </c>
      <c r="I76" s="6" t="s">
        <v>1499</v>
      </c>
      <c r="J76" s="6" t="s">
        <v>1500</v>
      </c>
    </row>
    <row r="77" spans="1:10" s="6" customFormat="1" ht="172.8" x14ac:dyDescent="0.3">
      <c r="A77" s="6" t="str">
        <f>HYPERLINK("https://grants.gov/search-results-detail/357901","DE-FOA-0003492")</f>
        <v>DE-FOA-0003492</v>
      </c>
      <c r="B77" s="6" t="s">
        <v>627</v>
      </c>
      <c r="C77" s="6" t="s">
        <v>214</v>
      </c>
      <c r="D77" s="6" t="s">
        <v>215</v>
      </c>
      <c r="E77" s="7">
        <v>45779</v>
      </c>
      <c r="F77" s="8">
        <v>3000000</v>
      </c>
      <c r="G77" s="8">
        <v>1000000</v>
      </c>
      <c r="H77" s="6">
        <v>8</v>
      </c>
      <c r="I77" s="6" t="s">
        <v>628</v>
      </c>
      <c r="J77" s="6" t="s">
        <v>629</v>
      </c>
    </row>
    <row r="78" spans="1:10" s="6" customFormat="1" ht="409.6" x14ac:dyDescent="0.3">
      <c r="A78" s="6" t="str">
        <f>HYPERLINK("https://grants.gov/search-results-detail/358255","DE-FOA-0003520")</f>
        <v>DE-FOA-0003520</v>
      </c>
      <c r="B78" s="6" t="s">
        <v>213</v>
      </c>
      <c r="C78" s="6" t="s">
        <v>214</v>
      </c>
      <c r="D78" s="6" t="s">
        <v>215</v>
      </c>
      <c r="E78" s="7">
        <v>45792</v>
      </c>
      <c r="F78" s="8">
        <v>3500000</v>
      </c>
      <c r="G78" s="8">
        <v>0</v>
      </c>
      <c r="H78" s="6">
        <v>6</v>
      </c>
      <c r="I78" s="6" t="s">
        <v>216</v>
      </c>
      <c r="J78" s="6" t="s">
        <v>217</v>
      </c>
    </row>
    <row r="79" spans="1:10" s="6" customFormat="1" ht="360" x14ac:dyDescent="0.3">
      <c r="A79" s="6" t="str">
        <f>HYPERLINK("https://grants.gov/search-results-detail/357260","DE-FOA-0003314")</f>
        <v>DE-FOA-0003314</v>
      </c>
      <c r="B79" s="6" t="s">
        <v>1065</v>
      </c>
      <c r="C79" s="6" t="s">
        <v>476</v>
      </c>
      <c r="D79" s="6" t="s">
        <v>477</v>
      </c>
      <c r="E79" s="7">
        <v>45714</v>
      </c>
      <c r="F79" s="8">
        <v>6000000</v>
      </c>
      <c r="G79" s="8">
        <v>0</v>
      </c>
      <c r="H79" s="6">
        <v>1</v>
      </c>
      <c r="I79" s="6" t="s">
        <v>507</v>
      </c>
      <c r="J79" s="6" t="s">
        <v>1066</v>
      </c>
    </row>
    <row r="80" spans="1:10" s="6" customFormat="1" ht="129.6" x14ac:dyDescent="0.3">
      <c r="A80" s="6" t="str">
        <f>HYPERLINK("https://grants.gov/search-results-detail/357823","DE-FOA-0003487")</f>
        <v>DE-FOA-0003487</v>
      </c>
      <c r="B80" s="6" t="s">
        <v>762</v>
      </c>
      <c r="C80" s="6" t="s">
        <v>476</v>
      </c>
      <c r="D80" s="6" t="s">
        <v>477</v>
      </c>
      <c r="E80" s="7">
        <v>45728</v>
      </c>
      <c r="F80" s="8">
        <v>40000000</v>
      </c>
      <c r="G80" s="8">
        <v>0</v>
      </c>
      <c r="H80" s="6">
        <v>10</v>
      </c>
      <c r="I80" s="6" t="s">
        <v>40</v>
      </c>
      <c r="J80" s="6" t="s">
        <v>763</v>
      </c>
    </row>
    <row r="81" spans="1:10" s="6" customFormat="1" ht="100.8" x14ac:dyDescent="0.3">
      <c r="A81" s="6" t="str">
        <f>HYPERLINK("https://grants.gov/search-results-detail/358100","DE-FOA-0003339")</f>
        <v>DE-FOA-0003339</v>
      </c>
      <c r="B81" s="6" t="s">
        <v>475</v>
      </c>
      <c r="C81" s="6" t="s">
        <v>476</v>
      </c>
      <c r="D81" s="6" t="s">
        <v>477</v>
      </c>
      <c r="E81" s="7">
        <v>45755</v>
      </c>
      <c r="F81" s="8">
        <v>8000000</v>
      </c>
      <c r="G81" s="8">
        <v>5000</v>
      </c>
      <c r="I81" s="6" t="s">
        <v>468</v>
      </c>
      <c r="J81" s="6" t="s">
        <v>478</v>
      </c>
    </row>
    <row r="82" spans="1:10" s="6" customFormat="1" ht="72" x14ac:dyDescent="0.3">
      <c r="A82" s="6" t="str">
        <f>HYPERLINK("https://grants.gov/search-results-detail/280970","DE-SOL-0008318")</f>
        <v>DE-SOL-0008318</v>
      </c>
      <c r="B82" s="6" t="s">
        <v>1915</v>
      </c>
      <c r="C82" s="6" t="s">
        <v>476</v>
      </c>
      <c r="D82" s="6" t="s">
        <v>477</v>
      </c>
      <c r="F82" s="8">
        <v>0</v>
      </c>
      <c r="G82" s="8">
        <v>0</v>
      </c>
      <c r="H82" s="6">
        <v>0</v>
      </c>
      <c r="I82" s="6" t="s">
        <v>37</v>
      </c>
      <c r="J82" s="6" t="s">
        <v>1916</v>
      </c>
    </row>
    <row r="83" spans="1:10" s="6" customFormat="1" ht="86.4" x14ac:dyDescent="0.3">
      <c r="A83" s="6" t="str">
        <f>HYPERLINK("https://grants.gov/search-results-detail/280932","DE-SOL-0008246")</f>
        <v>DE-SOL-0008246</v>
      </c>
      <c r="B83" s="6" t="s">
        <v>1917</v>
      </c>
      <c r="C83" s="6" t="s">
        <v>476</v>
      </c>
      <c r="D83" s="6" t="s">
        <v>477</v>
      </c>
      <c r="F83" s="8">
        <v>0</v>
      </c>
      <c r="G83" s="8">
        <v>0</v>
      </c>
      <c r="H83" s="6">
        <v>0</v>
      </c>
      <c r="I83" s="6" t="s">
        <v>507</v>
      </c>
      <c r="J83" s="6" t="s">
        <v>1918</v>
      </c>
    </row>
    <row r="84" spans="1:10" s="6" customFormat="1" ht="100.8" x14ac:dyDescent="0.3">
      <c r="A84" s="6" t="str">
        <f>HYPERLINK("https://grants.gov/search-results-detail/357831","DE-FOA-0003501")</f>
        <v>DE-FOA-0003501</v>
      </c>
      <c r="B84" s="6" t="s">
        <v>705</v>
      </c>
      <c r="C84" s="6" t="s">
        <v>210</v>
      </c>
      <c r="D84" s="6" t="s">
        <v>211</v>
      </c>
      <c r="E84" s="7">
        <v>45706</v>
      </c>
      <c r="F84" s="8">
        <v>10000000</v>
      </c>
      <c r="G84" s="8">
        <v>1</v>
      </c>
      <c r="H84" s="6">
        <v>1</v>
      </c>
      <c r="I84" s="6" t="s">
        <v>48</v>
      </c>
      <c r="J84" s="6" t="s">
        <v>706</v>
      </c>
    </row>
    <row r="85" spans="1:10" s="6" customFormat="1" ht="172.8" x14ac:dyDescent="0.3">
      <c r="A85" s="6" t="str">
        <f>HYPERLINK("https://grants.gov/search-results-detail/358108","DE-FOA-0003549")</f>
        <v>DE-FOA-0003549</v>
      </c>
      <c r="B85" s="6" t="s">
        <v>436</v>
      </c>
      <c r="C85" s="6" t="s">
        <v>210</v>
      </c>
      <c r="D85" s="6" t="s">
        <v>211</v>
      </c>
      <c r="E85" s="7">
        <v>45716</v>
      </c>
      <c r="F85" s="8">
        <v>2</v>
      </c>
      <c r="G85" s="8">
        <v>1</v>
      </c>
      <c r="H85" s="6">
        <v>0</v>
      </c>
      <c r="I85" s="6" t="s">
        <v>48</v>
      </c>
      <c r="J85" s="6" t="s">
        <v>437</v>
      </c>
    </row>
    <row r="86" spans="1:10" s="6" customFormat="1" ht="158.4" x14ac:dyDescent="0.3">
      <c r="A86" s="6" t="str">
        <f>HYPERLINK("https://grants.gov/search-results-detail/357679","DE-FOA-0003396")</f>
        <v>DE-FOA-0003396</v>
      </c>
      <c r="B86" s="6" t="s">
        <v>837</v>
      </c>
      <c r="C86" s="6" t="s">
        <v>210</v>
      </c>
      <c r="D86" s="6" t="s">
        <v>211</v>
      </c>
      <c r="E86" s="7">
        <v>45716</v>
      </c>
      <c r="F86" s="8">
        <v>3250000</v>
      </c>
      <c r="G86" s="8">
        <v>1</v>
      </c>
      <c r="H86" s="6">
        <v>3</v>
      </c>
      <c r="I86" s="6" t="s">
        <v>838</v>
      </c>
      <c r="J86" s="6" t="s">
        <v>839</v>
      </c>
    </row>
    <row r="87" spans="1:10" s="6" customFormat="1" ht="100.8" x14ac:dyDescent="0.3">
      <c r="A87" s="6" t="str">
        <f>HYPERLINK("https://grants.gov/search-results-detail/358253","DE-FOA-0003425")</f>
        <v>DE-FOA-0003425</v>
      </c>
      <c r="B87" s="6" t="s">
        <v>209</v>
      </c>
      <c r="C87" s="6" t="s">
        <v>210</v>
      </c>
      <c r="D87" s="6" t="s">
        <v>211</v>
      </c>
      <c r="E87" s="7">
        <v>45733</v>
      </c>
      <c r="F87" s="8">
        <v>2000000</v>
      </c>
      <c r="G87" s="8">
        <v>1</v>
      </c>
      <c r="H87" s="6">
        <v>4</v>
      </c>
      <c r="I87" s="6" t="s">
        <v>48</v>
      </c>
      <c r="J87" s="6" t="s">
        <v>212</v>
      </c>
    </row>
    <row r="88" spans="1:10" s="6" customFormat="1" ht="158.4" x14ac:dyDescent="0.3">
      <c r="A88" s="6" t="str">
        <f>HYPERLINK("https://grants.gov/search-results-detail/358223","DE-FOA-0003495")</f>
        <v>DE-FOA-0003495</v>
      </c>
      <c r="B88" s="6" t="s">
        <v>285</v>
      </c>
      <c r="C88" s="6" t="s">
        <v>210</v>
      </c>
      <c r="D88" s="6" t="s">
        <v>211</v>
      </c>
      <c r="E88" s="7">
        <v>45758</v>
      </c>
      <c r="F88" s="8">
        <v>8000000</v>
      </c>
      <c r="G88" s="8">
        <v>1</v>
      </c>
      <c r="H88" s="6">
        <v>17</v>
      </c>
      <c r="I88" s="6" t="s">
        <v>286</v>
      </c>
      <c r="J88" s="6" t="s">
        <v>287</v>
      </c>
    </row>
    <row r="89" spans="1:10" s="6" customFormat="1" ht="129.6" x14ac:dyDescent="0.3">
      <c r="A89" s="6" t="str">
        <f>HYPERLINK("https://grants.gov/search-results-detail/357592","DE-FOA-0003446")</f>
        <v>DE-FOA-0003446</v>
      </c>
      <c r="B89" s="6" t="s">
        <v>885</v>
      </c>
      <c r="C89" s="6" t="s">
        <v>210</v>
      </c>
      <c r="D89" s="6" t="s">
        <v>211</v>
      </c>
      <c r="E89" s="7">
        <v>45764</v>
      </c>
      <c r="F89" s="8">
        <v>1250000</v>
      </c>
      <c r="G89" s="8">
        <v>1</v>
      </c>
      <c r="H89" s="6">
        <v>5</v>
      </c>
      <c r="I89" s="6" t="s">
        <v>886</v>
      </c>
      <c r="J89" s="6" t="s">
        <v>887</v>
      </c>
    </row>
    <row r="90" spans="1:10" s="6" customFormat="1" ht="172.8" x14ac:dyDescent="0.3">
      <c r="A90" s="6" t="str">
        <f>HYPERLINK("https://grants.gov/search-results-detail/349523","DE-FOA-0002829")</f>
        <v>DE-FOA-0002829</v>
      </c>
      <c r="B90" s="6" t="s">
        <v>1456</v>
      </c>
      <c r="C90" s="6" t="s">
        <v>210</v>
      </c>
      <c r="D90" s="6" t="s">
        <v>211</v>
      </c>
      <c r="E90" s="7">
        <v>45777</v>
      </c>
      <c r="F90" s="8">
        <v>5000000</v>
      </c>
      <c r="G90" s="8">
        <v>1</v>
      </c>
      <c r="H90" s="6">
        <v>50</v>
      </c>
      <c r="I90" s="6" t="s">
        <v>1457</v>
      </c>
      <c r="J90" s="6" t="s">
        <v>1458</v>
      </c>
    </row>
    <row r="91" spans="1:10" s="6" customFormat="1" ht="409.6" x14ac:dyDescent="0.3">
      <c r="A91" s="6" t="str">
        <f>HYPERLINK("https://grants.gov/search-results-detail/357982","DE-FOA-0003437")</f>
        <v>DE-FOA-0003437</v>
      </c>
      <c r="B91" s="6" t="s">
        <v>543</v>
      </c>
      <c r="C91" s="6" t="s">
        <v>544</v>
      </c>
      <c r="D91" s="6" t="s">
        <v>545</v>
      </c>
      <c r="E91" s="7">
        <v>45751</v>
      </c>
      <c r="F91" s="8">
        <v>25000000</v>
      </c>
      <c r="G91" s="8"/>
      <c r="H91" s="6">
        <v>25</v>
      </c>
      <c r="I91" s="6" t="s">
        <v>546</v>
      </c>
      <c r="J91" s="6" t="s">
        <v>547</v>
      </c>
    </row>
    <row r="92" spans="1:10" s="6" customFormat="1" ht="288" x14ac:dyDescent="0.3">
      <c r="A92" s="6" t="str">
        <f>HYPERLINK("https://grants.gov/search-results-detail/357128","F25AS00099")</f>
        <v>F25AS00099</v>
      </c>
      <c r="B92" s="6" t="s">
        <v>1087</v>
      </c>
      <c r="C92" s="6" t="s">
        <v>1088</v>
      </c>
      <c r="D92" s="6" t="s">
        <v>1089</v>
      </c>
      <c r="E92" s="7">
        <v>45713</v>
      </c>
      <c r="F92" s="8">
        <v>1000000</v>
      </c>
      <c r="G92" s="8">
        <v>25000</v>
      </c>
      <c r="I92" s="6" t="s">
        <v>1090</v>
      </c>
      <c r="J92" s="6" t="s">
        <v>1091</v>
      </c>
    </row>
    <row r="93" spans="1:10" s="6" customFormat="1" ht="409.6" x14ac:dyDescent="0.3">
      <c r="A93" s="6" t="str">
        <f>HYPERLINK("https://grants.gov/search-results-detail/355345","F24AS00414")</f>
        <v>F24AS00414</v>
      </c>
      <c r="B93" s="6" t="s">
        <v>1280</v>
      </c>
      <c r="C93" s="6" t="s">
        <v>1088</v>
      </c>
      <c r="D93" s="6" t="s">
        <v>1089</v>
      </c>
      <c r="E93" s="7">
        <v>45777</v>
      </c>
      <c r="F93" s="8">
        <v>1000000</v>
      </c>
      <c r="G93" s="8">
        <v>100000</v>
      </c>
      <c r="I93" s="6" t="s">
        <v>1281</v>
      </c>
      <c r="J93" s="6" t="s">
        <v>1282</v>
      </c>
    </row>
    <row r="94" spans="1:10" s="6" customFormat="1" ht="86.4" x14ac:dyDescent="0.3">
      <c r="A94" s="6" t="str">
        <f>HYPERLINK("https://grants.gov/search-results-detail/42048","FWS-R4-FLEXFUND")</f>
        <v>FWS-R4-FLEXFUND</v>
      </c>
      <c r="B94" s="6" t="s">
        <v>2040</v>
      </c>
      <c r="C94" s="6" t="s">
        <v>2041</v>
      </c>
      <c r="D94" s="6" t="s">
        <v>2042</v>
      </c>
      <c r="F94" s="8">
        <v>300000</v>
      </c>
      <c r="G94" s="8">
        <v>1</v>
      </c>
      <c r="H94" s="6">
        <v>25</v>
      </c>
      <c r="I94" s="6" t="s">
        <v>2043</v>
      </c>
      <c r="J94" s="6" t="s">
        <v>2044</v>
      </c>
    </row>
    <row r="95" spans="1:10" s="6" customFormat="1" ht="230.4" x14ac:dyDescent="0.3">
      <c r="A95" s="6" t="str">
        <f>HYPERLINK("https://grants.gov/search-results-detail/357507","D25AS00131")</f>
        <v>D25AS00131</v>
      </c>
      <c r="B95" s="6" t="s">
        <v>934</v>
      </c>
      <c r="C95" s="6" t="s">
        <v>935</v>
      </c>
      <c r="D95" s="6" t="s">
        <v>936</v>
      </c>
      <c r="E95" s="7">
        <v>45714</v>
      </c>
      <c r="F95" s="8">
        <v>500000</v>
      </c>
      <c r="G95" s="8">
        <v>10000</v>
      </c>
      <c r="I95" s="6" t="s">
        <v>937</v>
      </c>
      <c r="J95" s="6" t="s">
        <v>938</v>
      </c>
    </row>
    <row r="96" spans="1:10" s="6" customFormat="1" ht="115.2" x14ac:dyDescent="0.3">
      <c r="A96" s="6" t="str">
        <f>HYPERLINK("https://grants.gov/search-results-detail/357510","P24AS00549")</f>
        <v>P24AS00549</v>
      </c>
      <c r="B96" s="6" t="s">
        <v>952</v>
      </c>
      <c r="C96" s="6" t="s">
        <v>549</v>
      </c>
      <c r="D96" s="6" t="s">
        <v>550</v>
      </c>
      <c r="E96" s="7">
        <v>45715</v>
      </c>
      <c r="F96" s="8">
        <v>75000</v>
      </c>
      <c r="G96" s="8">
        <v>15000</v>
      </c>
      <c r="I96" s="6" t="s">
        <v>953</v>
      </c>
      <c r="J96" s="6" t="s">
        <v>954</v>
      </c>
    </row>
    <row r="97" spans="1:10" s="6" customFormat="1" ht="230.4" x14ac:dyDescent="0.3">
      <c r="A97" s="6" t="str">
        <f>HYPERLINK("https://grants.gov/search-results-detail/358002","P25AS00212")</f>
        <v>P25AS00212</v>
      </c>
      <c r="B97" s="6" t="s">
        <v>548</v>
      </c>
      <c r="C97" s="6" t="s">
        <v>549</v>
      </c>
      <c r="D97" s="6" t="s">
        <v>550</v>
      </c>
      <c r="E97" s="7">
        <v>45720</v>
      </c>
      <c r="F97" s="8">
        <v>50000</v>
      </c>
      <c r="G97" s="8">
        <v>1</v>
      </c>
      <c r="I97" s="6" t="s">
        <v>551</v>
      </c>
      <c r="J97" s="6" t="s">
        <v>552</v>
      </c>
    </row>
    <row r="98" spans="1:10" s="6" customFormat="1" ht="158.4" x14ac:dyDescent="0.3">
      <c r="A98" s="6" t="str">
        <f>HYPERLINK("https://grants.gov/search-results-detail/357790","P24AS00546")</f>
        <v>P24AS00546</v>
      </c>
      <c r="B98" s="6" t="s">
        <v>767</v>
      </c>
      <c r="C98" s="6" t="s">
        <v>549</v>
      </c>
      <c r="D98" s="6" t="s">
        <v>550</v>
      </c>
      <c r="E98" s="7">
        <v>45734</v>
      </c>
      <c r="F98" s="8">
        <v>750000</v>
      </c>
      <c r="G98" s="8">
        <v>15000</v>
      </c>
      <c r="I98" s="6" t="s">
        <v>768</v>
      </c>
      <c r="J98" s="6" t="s">
        <v>769</v>
      </c>
    </row>
    <row r="99" spans="1:10" s="6" customFormat="1" ht="409.6" x14ac:dyDescent="0.3">
      <c r="A99" s="6" t="str">
        <f>HYPERLINK("https://grants.gov/search-results-detail/357990","P25AS00476")</f>
        <v>P25AS00476</v>
      </c>
      <c r="B99" s="6" t="s">
        <v>556</v>
      </c>
      <c r="C99" s="6" t="s">
        <v>549</v>
      </c>
      <c r="D99" s="6" t="s">
        <v>550</v>
      </c>
      <c r="E99" s="7">
        <v>45747</v>
      </c>
      <c r="F99" s="8">
        <v>200000</v>
      </c>
      <c r="G99" s="8">
        <v>20000</v>
      </c>
      <c r="I99" s="6" t="s">
        <v>557</v>
      </c>
      <c r="J99" s="6" t="s">
        <v>558</v>
      </c>
    </row>
    <row r="100" spans="1:10" s="6" customFormat="1" ht="273.60000000000002" x14ac:dyDescent="0.3">
      <c r="A100" s="6" t="str">
        <f>HYPERLINK("https://grants.gov/search-results-detail/357999","P25AS00464")</f>
        <v>P25AS00464</v>
      </c>
      <c r="B100" s="6" t="s">
        <v>564</v>
      </c>
      <c r="C100" s="6" t="s">
        <v>549</v>
      </c>
      <c r="D100" s="6" t="s">
        <v>550</v>
      </c>
      <c r="E100" s="7">
        <v>45747</v>
      </c>
      <c r="F100" s="8">
        <v>150000</v>
      </c>
      <c r="G100" s="8">
        <v>5000</v>
      </c>
      <c r="I100" s="6" t="s">
        <v>565</v>
      </c>
      <c r="J100" s="6" t="s">
        <v>566</v>
      </c>
    </row>
    <row r="101" spans="1:10" s="6" customFormat="1" ht="409.6" x14ac:dyDescent="0.3">
      <c r="A101" s="6" t="str">
        <f>HYPERLINK("https://grants.gov/search-results-detail/351058","P24AS00502")</f>
        <v>P24AS00502</v>
      </c>
      <c r="B101" s="6" t="s">
        <v>1426</v>
      </c>
      <c r="C101" s="6" t="s">
        <v>549</v>
      </c>
      <c r="D101" s="6" t="s">
        <v>550</v>
      </c>
      <c r="E101" s="7">
        <v>45786</v>
      </c>
      <c r="F101" s="8">
        <v>25000</v>
      </c>
      <c r="G101" s="8">
        <v>1000</v>
      </c>
      <c r="I101" s="6" t="s">
        <v>1427</v>
      </c>
      <c r="J101" s="6" t="s">
        <v>1428</v>
      </c>
    </row>
    <row r="102" spans="1:10" s="6" customFormat="1" ht="115.2" x14ac:dyDescent="0.3">
      <c r="A102" s="6" t="str">
        <f>HYPERLINK("https://grants.gov/search-results-detail/286105","P16AS00322")</f>
        <v>P16AS00322</v>
      </c>
      <c r="B102" s="6" t="s">
        <v>1910</v>
      </c>
      <c r="C102" s="6" t="s">
        <v>549</v>
      </c>
      <c r="D102" s="6" t="s">
        <v>550</v>
      </c>
      <c r="F102" s="8">
        <v>89987</v>
      </c>
      <c r="G102" s="8">
        <v>1</v>
      </c>
      <c r="I102" s="6" t="s">
        <v>1203</v>
      </c>
      <c r="J102" s="6" t="s">
        <v>1911</v>
      </c>
    </row>
    <row r="103" spans="1:10" s="6" customFormat="1" ht="28.8" x14ac:dyDescent="0.3">
      <c r="A103" s="6" t="str">
        <f>HYPERLINK("https://grants.gov/search-results-detail/141593","P12AC10113")</f>
        <v>P12AC10113</v>
      </c>
      <c r="B103" s="6" t="s">
        <v>1994</v>
      </c>
      <c r="C103" s="6" t="s">
        <v>549</v>
      </c>
      <c r="D103" s="6" t="s">
        <v>550</v>
      </c>
      <c r="F103" s="8">
        <v>55746</v>
      </c>
      <c r="G103" s="8"/>
      <c r="H103" s="6">
        <v>1</v>
      </c>
      <c r="I103" s="6" t="s">
        <v>1995</v>
      </c>
      <c r="J103" s="6" t="s">
        <v>1996</v>
      </c>
    </row>
    <row r="104" spans="1:10" s="6" customFormat="1" ht="129.6" x14ac:dyDescent="0.3">
      <c r="A104" s="6" t="str">
        <f>HYPERLINK("https://grants.gov/search-results-detail/113293","P11AT80708")</f>
        <v>P11AT80708</v>
      </c>
      <c r="B104" s="6" t="s">
        <v>2000</v>
      </c>
      <c r="C104" s="6" t="s">
        <v>549</v>
      </c>
      <c r="D104" s="6" t="s">
        <v>550</v>
      </c>
      <c r="F104" s="8"/>
      <c r="G104" s="8"/>
      <c r="H104" s="6">
        <v>1</v>
      </c>
      <c r="I104" s="6" t="s">
        <v>2001</v>
      </c>
      <c r="J104" s="6" t="s">
        <v>2002</v>
      </c>
    </row>
    <row r="105" spans="1:10" s="6" customFormat="1" ht="144" x14ac:dyDescent="0.3">
      <c r="A105" s="6" t="str">
        <f>HYPERLINK("https://grants.gov/search-results-detail/358234","S24AS00462")</f>
        <v>S24AS00462</v>
      </c>
      <c r="B105" s="6" t="s">
        <v>296</v>
      </c>
      <c r="C105" s="6" t="s">
        <v>297</v>
      </c>
      <c r="D105" s="6" t="s">
        <v>298</v>
      </c>
      <c r="E105" s="7">
        <v>45737</v>
      </c>
      <c r="F105" s="8">
        <v>200000</v>
      </c>
      <c r="G105" s="8">
        <v>100000</v>
      </c>
      <c r="I105" s="6" t="s">
        <v>299</v>
      </c>
      <c r="J105" s="6" t="s">
        <v>300</v>
      </c>
    </row>
    <row r="106" spans="1:10" s="6" customFormat="1" ht="129.6" x14ac:dyDescent="0.3">
      <c r="A106" s="6" t="str">
        <f>HYPERLINK("https://grants.gov/search-results-detail/358250","G25AS00235")</f>
        <v>G25AS00235</v>
      </c>
      <c r="B106" s="6" t="s">
        <v>254</v>
      </c>
      <c r="C106" s="6" t="s">
        <v>1</v>
      </c>
      <c r="D106" s="6" t="s">
        <v>2</v>
      </c>
      <c r="E106" s="7">
        <v>45705</v>
      </c>
      <c r="F106" s="8">
        <v>200000</v>
      </c>
      <c r="G106" s="8">
        <v>1</v>
      </c>
      <c r="I106" s="6" t="s">
        <v>255</v>
      </c>
      <c r="J106" s="6" t="s">
        <v>256</v>
      </c>
    </row>
    <row r="107" spans="1:10" s="6" customFormat="1" ht="187.2" x14ac:dyDescent="0.3">
      <c r="A107" s="6" t="str">
        <f>HYPERLINK("https://grants.gov/search-results-detail/358249","G25AS00232")</f>
        <v>G25AS00232</v>
      </c>
      <c r="B107" s="6" t="s">
        <v>254</v>
      </c>
      <c r="C107" s="6" t="s">
        <v>1</v>
      </c>
      <c r="D107" s="6" t="s">
        <v>2</v>
      </c>
      <c r="E107" s="7">
        <v>45705</v>
      </c>
      <c r="F107" s="8">
        <v>70000</v>
      </c>
      <c r="G107" s="8">
        <v>1</v>
      </c>
      <c r="I107" s="6" t="s">
        <v>257</v>
      </c>
      <c r="J107" s="6" t="s">
        <v>258</v>
      </c>
    </row>
    <row r="108" spans="1:10" s="6" customFormat="1" ht="158.4" x14ac:dyDescent="0.3">
      <c r="A108" s="6" t="str">
        <f>HYPERLINK("https://grants.gov/search-results-detail/358251","G25AS00237")</f>
        <v>G25AS00237</v>
      </c>
      <c r="B108" s="6" t="s">
        <v>259</v>
      </c>
      <c r="C108" s="6" t="s">
        <v>1</v>
      </c>
      <c r="D108" s="6" t="s">
        <v>2</v>
      </c>
      <c r="E108" s="7">
        <v>45705</v>
      </c>
      <c r="F108" s="8">
        <v>100000</v>
      </c>
      <c r="G108" s="8">
        <v>1</v>
      </c>
      <c r="I108" s="6" t="s">
        <v>260</v>
      </c>
      <c r="J108" s="6" t="s">
        <v>261</v>
      </c>
    </row>
    <row r="109" spans="1:10" s="6" customFormat="1" ht="129.6" x14ac:dyDescent="0.3">
      <c r="A109" s="6" t="str">
        <f>HYPERLINK("https://grants.gov/search-results-detail/358252","G25AS00238")</f>
        <v>G25AS00238</v>
      </c>
      <c r="B109" s="6" t="s">
        <v>262</v>
      </c>
      <c r="C109" s="6" t="s">
        <v>1</v>
      </c>
      <c r="D109" s="6" t="s">
        <v>2</v>
      </c>
      <c r="E109" s="7">
        <v>45705</v>
      </c>
      <c r="F109" s="8">
        <v>100000</v>
      </c>
      <c r="G109" s="8">
        <v>1</v>
      </c>
      <c r="I109" s="6" t="s">
        <v>263</v>
      </c>
      <c r="J109" s="6" t="s">
        <v>264</v>
      </c>
    </row>
    <row r="110" spans="1:10" s="6" customFormat="1" ht="129.6" x14ac:dyDescent="0.3">
      <c r="A110" s="6" t="str">
        <f>HYPERLINK("https://grants.gov/search-results-detail/358246","G25AS00229")</f>
        <v>G25AS00229</v>
      </c>
      <c r="B110" s="6" t="s">
        <v>254</v>
      </c>
      <c r="C110" s="6" t="s">
        <v>1</v>
      </c>
      <c r="D110" s="6" t="s">
        <v>2</v>
      </c>
      <c r="E110" s="7">
        <v>45705</v>
      </c>
      <c r="F110" s="8">
        <v>100000</v>
      </c>
      <c r="G110" s="8">
        <v>1</v>
      </c>
      <c r="I110" s="6" t="s">
        <v>265</v>
      </c>
      <c r="J110" s="6" t="s">
        <v>266</v>
      </c>
    </row>
    <row r="111" spans="1:10" s="6" customFormat="1" ht="115.2" x14ac:dyDescent="0.3">
      <c r="A111" s="6" t="str">
        <f>HYPERLINK("https://grants.gov/search-results-detail/358248","G25AS00231")</f>
        <v>G25AS00231</v>
      </c>
      <c r="B111" s="6" t="s">
        <v>267</v>
      </c>
      <c r="C111" s="6" t="s">
        <v>1</v>
      </c>
      <c r="D111" s="6" t="s">
        <v>2</v>
      </c>
      <c r="E111" s="7">
        <v>45705</v>
      </c>
      <c r="F111" s="8">
        <v>133184</v>
      </c>
      <c r="G111" s="8">
        <v>1</v>
      </c>
      <c r="I111" s="6" t="s">
        <v>268</v>
      </c>
      <c r="J111" s="6" t="s">
        <v>269</v>
      </c>
    </row>
    <row r="112" spans="1:10" s="6" customFormat="1" ht="129.6" x14ac:dyDescent="0.3">
      <c r="A112" s="6" t="str">
        <f>HYPERLINK("https://grants.gov/search-results-detail/358247","G25AS00230")</f>
        <v>G25AS00230</v>
      </c>
      <c r="B112" s="6" t="s">
        <v>10</v>
      </c>
      <c r="C112" s="6" t="s">
        <v>1</v>
      </c>
      <c r="D112" s="6" t="s">
        <v>2</v>
      </c>
      <c r="E112" s="7">
        <v>45705</v>
      </c>
      <c r="F112" s="8">
        <v>400000</v>
      </c>
      <c r="G112" s="8">
        <v>1</v>
      </c>
      <c r="I112" s="6" t="s">
        <v>11</v>
      </c>
      <c r="J112" s="6" t="s">
        <v>270</v>
      </c>
    </row>
    <row r="113" spans="1:10" s="6" customFormat="1" ht="158.4" x14ac:dyDescent="0.3">
      <c r="A113" s="6" t="str">
        <f>HYPERLINK("https://grants.gov/search-results-detail/358415","G25AS00227")</f>
        <v>G25AS00227</v>
      </c>
      <c r="B113" s="6" t="s">
        <v>23</v>
      </c>
      <c r="C113" s="6" t="s">
        <v>1</v>
      </c>
      <c r="D113" s="6" t="s">
        <v>2</v>
      </c>
      <c r="E113" s="7">
        <v>45723</v>
      </c>
      <c r="F113" s="8">
        <v>30000</v>
      </c>
      <c r="G113" s="8">
        <v>1</v>
      </c>
      <c r="I113" s="6" t="s">
        <v>24</v>
      </c>
      <c r="J113" s="6" t="s">
        <v>25</v>
      </c>
    </row>
    <row r="114" spans="1:10" s="6" customFormat="1" ht="129.6" x14ac:dyDescent="0.3">
      <c r="A114" s="6" t="str">
        <f>HYPERLINK("https://grants.gov/search-results-detail/358424","G25AS00260")</f>
        <v>G25AS00260</v>
      </c>
      <c r="B114" s="6" t="s">
        <v>10</v>
      </c>
      <c r="C114" s="6" t="s">
        <v>1</v>
      </c>
      <c r="D114" s="6" t="s">
        <v>2</v>
      </c>
      <c r="E114" s="7">
        <v>45727</v>
      </c>
      <c r="F114" s="8">
        <v>240000</v>
      </c>
      <c r="G114" s="8">
        <v>1</v>
      </c>
      <c r="I114" s="6" t="s">
        <v>11</v>
      </c>
      <c r="J114" s="6" t="s">
        <v>12</v>
      </c>
    </row>
    <row r="115" spans="1:10" s="6" customFormat="1" ht="288" x14ac:dyDescent="0.3">
      <c r="A115" s="6" t="str">
        <f>HYPERLINK("https://grants.gov/search-results-detail/358430","G25AS00236")</f>
        <v>G25AS00236</v>
      </c>
      <c r="B115" s="6" t="s">
        <v>13</v>
      </c>
      <c r="C115" s="6" t="s">
        <v>1</v>
      </c>
      <c r="D115" s="6" t="s">
        <v>2</v>
      </c>
      <c r="E115" s="7">
        <v>45727</v>
      </c>
      <c r="F115" s="8">
        <v>228000</v>
      </c>
      <c r="G115" s="8">
        <v>1</v>
      </c>
      <c r="I115" s="6" t="s">
        <v>14</v>
      </c>
      <c r="J115" s="6" t="s">
        <v>15</v>
      </c>
    </row>
    <row r="116" spans="1:10" s="6" customFormat="1" ht="244.8" x14ac:dyDescent="0.3">
      <c r="A116" s="6" t="str">
        <f>HYPERLINK("https://grants.gov/search-results-detail/358431","G25AS00253")</f>
        <v>G25AS00253</v>
      </c>
      <c r="B116" s="6" t="s">
        <v>16</v>
      </c>
      <c r="C116" s="6" t="s">
        <v>1</v>
      </c>
      <c r="D116" s="6" t="s">
        <v>2</v>
      </c>
      <c r="E116" s="7">
        <v>45727</v>
      </c>
      <c r="F116" s="8">
        <v>228000</v>
      </c>
      <c r="G116" s="8">
        <v>1</v>
      </c>
      <c r="I116" s="6" t="s">
        <v>14</v>
      </c>
      <c r="J116" s="6" t="s">
        <v>17</v>
      </c>
    </row>
    <row r="117" spans="1:10" s="6" customFormat="1" ht="129.6" x14ac:dyDescent="0.3">
      <c r="A117" s="6" t="str">
        <f>HYPERLINK("https://grants.gov/search-results-detail/358434","G25AS00262")</f>
        <v>G25AS00262</v>
      </c>
      <c r="B117" s="6" t="s">
        <v>0</v>
      </c>
      <c r="C117" s="6" t="s">
        <v>1</v>
      </c>
      <c r="D117" s="6" t="s">
        <v>2</v>
      </c>
      <c r="E117" s="7">
        <v>45728</v>
      </c>
      <c r="F117" s="8">
        <v>60000</v>
      </c>
      <c r="G117" s="8">
        <v>1</v>
      </c>
      <c r="I117" s="6" t="s">
        <v>3</v>
      </c>
      <c r="J117" s="6" t="s">
        <v>4</v>
      </c>
    </row>
    <row r="118" spans="1:10" s="6" customFormat="1" ht="43.2" x14ac:dyDescent="0.3">
      <c r="A118" s="6" t="str">
        <f>HYPERLINK("https://grants.gov/search-results-detail/294523","USGS-17-FA-0222")</f>
        <v>USGS-17-FA-0222</v>
      </c>
      <c r="B118" s="6" t="s">
        <v>1892</v>
      </c>
      <c r="C118" s="6" t="s">
        <v>1</v>
      </c>
      <c r="D118" s="6" t="s">
        <v>2</v>
      </c>
      <c r="F118" s="8">
        <v>35000</v>
      </c>
      <c r="G118" s="8">
        <v>1</v>
      </c>
      <c r="H118" s="6">
        <v>1</v>
      </c>
      <c r="I118" s="6" t="s">
        <v>1893</v>
      </c>
      <c r="J118" s="6" t="s">
        <v>1894</v>
      </c>
    </row>
    <row r="119" spans="1:10" s="6" customFormat="1" ht="72" x14ac:dyDescent="0.3">
      <c r="A119" s="6" t="str">
        <f>HYPERLINK("https://grants.gov/search-results-detail/278692","USGS-15-FA-0426")</f>
        <v>USGS-15-FA-0426</v>
      </c>
      <c r="B119" s="6" t="s">
        <v>1921</v>
      </c>
      <c r="C119" s="6" t="s">
        <v>1</v>
      </c>
      <c r="D119" s="6" t="s">
        <v>2</v>
      </c>
      <c r="F119" s="8">
        <v>325000</v>
      </c>
      <c r="G119" s="8">
        <v>10000</v>
      </c>
      <c r="H119" s="6">
        <v>1</v>
      </c>
      <c r="I119" s="6" t="s">
        <v>1922</v>
      </c>
      <c r="J119" s="6" t="s">
        <v>1923</v>
      </c>
    </row>
    <row r="120" spans="1:10" s="6" customFormat="1" ht="100.8" x14ac:dyDescent="0.3">
      <c r="A120" s="6" t="str">
        <f>HYPERLINK("https://grants.gov/search-results-detail/355955","TEGL-02-24")</f>
        <v>TEGL-02-24</v>
      </c>
      <c r="B120" s="6" t="s">
        <v>1231</v>
      </c>
      <c r="C120" s="6" t="s">
        <v>909</v>
      </c>
      <c r="D120" s="6" t="s">
        <v>910</v>
      </c>
      <c r="E120" s="7">
        <v>45706</v>
      </c>
      <c r="F120" s="8">
        <v>6000000</v>
      </c>
      <c r="G120" s="8">
        <v>10000</v>
      </c>
      <c r="H120" s="6">
        <v>128</v>
      </c>
      <c r="I120" s="6" t="s">
        <v>1232</v>
      </c>
      <c r="J120" s="6" t="s">
        <v>1233</v>
      </c>
    </row>
    <row r="121" spans="1:10" s="6" customFormat="1" ht="259.2" x14ac:dyDescent="0.3">
      <c r="A121" s="6" t="str">
        <f>HYPERLINK("https://grants.gov/search-results-detail/357576","FOA-ETA-25-35")</f>
        <v>FOA-ETA-25-35</v>
      </c>
      <c r="B121" s="6" t="s">
        <v>908</v>
      </c>
      <c r="C121" s="6" t="s">
        <v>909</v>
      </c>
      <c r="D121" s="6" t="s">
        <v>910</v>
      </c>
      <c r="E121" s="7">
        <v>45713</v>
      </c>
      <c r="F121" s="8">
        <v>1500000</v>
      </c>
      <c r="G121" s="8">
        <v>0</v>
      </c>
      <c r="H121" s="6">
        <v>1</v>
      </c>
      <c r="I121" s="6" t="s">
        <v>911</v>
      </c>
      <c r="J121" s="6" t="s">
        <v>912</v>
      </c>
    </row>
    <row r="122" spans="1:10" s="6" customFormat="1" ht="409.6" x14ac:dyDescent="0.3">
      <c r="A122" s="6" t="str">
        <f>HYPERLINK("https://grants.gov/search-results-detail/356463","FOA-VETS-25-01")</f>
        <v>FOA-VETS-25-01</v>
      </c>
      <c r="B122" s="6" t="s">
        <v>308</v>
      </c>
      <c r="C122" s="6" t="s">
        <v>309</v>
      </c>
      <c r="D122" s="6" t="s">
        <v>310</v>
      </c>
      <c r="E122" s="7">
        <v>45733</v>
      </c>
      <c r="F122" s="8">
        <v>500000</v>
      </c>
      <c r="G122" s="8">
        <v>150000</v>
      </c>
      <c r="H122" s="6">
        <v>38</v>
      </c>
      <c r="I122" s="6" t="s">
        <v>311</v>
      </c>
      <c r="J122" s="6" t="s">
        <v>312</v>
      </c>
    </row>
    <row r="123" spans="1:10" s="6" customFormat="1" ht="129.6" x14ac:dyDescent="0.3">
      <c r="A123" s="6" t="str">
        <f>HYPERLINK("https://grants.gov/search-results-detail/290351","PAS-AUS-FY2017-1")</f>
        <v>PAS-AUS-FY2017-1</v>
      </c>
      <c r="B123" s="6" t="s">
        <v>1902</v>
      </c>
      <c r="C123" s="6" t="s">
        <v>1903</v>
      </c>
      <c r="D123" s="6" t="s">
        <v>1904</v>
      </c>
      <c r="F123" s="8">
        <v>15000</v>
      </c>
      <c r="G123" s="8">
        <v>5000</v>
      </c>
      <c r="I123" s="6" t="s">
        <v>1905</v>
      </c>
      <c r="J123" s="6" t="s">
        <v>1906</v>
      </c>
    </row>
    <row r="124" spans="1:10" s="6" customFormat="1" ht="409.6" x14ac:dyDescent="0.3">
      <c r="A124" s="6" t="str">
        <f>HYPERLINK("https://grants.gov/search-results-detail/358211","PDS-BUJUMBURA-FY25-02")</f>
        <v>PDS-BUJUMBURA-FY25-02</v>
      </c>
      <c r="B124" s="6" t="s">
        <v>55</v>
      </c>
      <c r="C124" s="6" t="s">
        <v>104</v>
      </c>
      <c r="D124" s="6" t="s">
        <v>105</v>
      </c>
      <c r="E124" s="7">
        <v>45731</v>
      </c>
      <c r="F124" s="8">
        <v>35000</v>
      </c>
      <c r="G124" s="8">
        <v>5000</v>
      </c>
      <c r="H124" s="6">
        <v>2</v>
      </c>
      <c r="I124" s="6" t="s">
        <v>106</v>
      </c>
      <c r="J124" s="6" t="s">
        <v>107</v>
      </c>
    </row>
    <row r="125" spans="1:10" s="6" customFormat="1" ht="201.6" x14ac:dyDescent="0.3">
      <c r="A125" s="6" t="str">
        <f>HYPERLINK("https://grants.gov/search-results-detail/358378","EMB-BANGUI-PDS-AEIF-FY25-001")</f>
        <v>EMB-BANGUI-PDS-AEIF-FY25-001</v>
      </c>
      <c r="B125" s="6" t="s">
        <v>55</v>
      </c>
      <c r="C125" s="6" t="s">
        <v>56</v>
      </c>
      <c r="D125" s="6" t="s">
        <v>57</v>
      </c>
      <c r="E125" s="7">
        <v>45716</v>
      </c>
      <c r="F125" s="8">
        <v>35000</v>
      </c>
      <c r="G125" s="8">
        <v>5000</v>
      </c>
      <c r="H125" s="6">
        <v>2</v>
      </c>
      <c r="I125" s="6" t="s">
        <v>58</v>
      </c>
      <c r="J125" s="6" t="s">
        <v>59</v>
      </c>
    </row>
    <row r="126" spans="1:10" s="6" customFormat="1" ht="302.39999999999998" x14ac:dyDescent="0.3">
      <c r="A126" s="6" t="str">
        <f>HYPERLINK("https://grants.gov/search-results-detail/358385","PDS-SIV-100-FY25-NOFO-01")</f>
        <v>PDS-SIV-100-FY25-NOFO-01</v>
      </c>
      <c r="B126" s="6" t="s">
        <v>50</v>
      </c>
      <c r="C126" s="6" t="s">
        <v>51</v>
      </c>
      <c r="D126" s="6" t="s">
        <v>52</v>
      </c>
      <c r="E126" s="7">
        <v>45777</v>
      </c>
      <c r="F126" s="8">
        <v>250000</v>
      </c>
      <c r="G126" s="8">
        <v>20000</v>
      </c>
      <c r="H126" s="6">
        <v>2</v>
      </c>
      <c r="I126" s="6" t="s">
        <v>53</v>
      </c>
      <c r="J126" s="6" t="s">
        <v>54</v>
      </c>
    </row>
    <row r="127" spans="1:10" s="6" customFormat="1" ht="273.60000000000002" x14ac:dyDescent="0.3">
      <c r="A127" s="6" t="str">
        <f>HYPERLINK("https://grants.gov/search-results-detail/357952","AF-DRC-PDS-FY25-02")</f>
        <v>AF-DRC-PDS-FY25-02</v>
      </c>
      <c r="B127" s="6" t="s">
        <v>579</v>
      </c>
      <c r="C127" s="6" t="s">
        <v>580</v>
      </c>
      <c r="D127" s="6" t="s">
        <v>581</v>
      </c>
      <c r="E127" s="7">
        <v>45705</v>
      </c>
      <c r="F127" s="8">
        <v>35000</v>
      </c>
      <c r="G127" s="8">
        <v>35000</v>
      </c>
      <c r="H127" s="6">
        <v>1</v>
      </c>
      <c r="I127" s="6" t="s">
        <v>582</v>
      </c>
      <c r="J127" s="6" t="s">
        <v>583</v>
      </c>
    </row>
    <row r="128" spans="1:10" s="6" customFormat="1" ht="259.2" x14ac:dyDescent="0.3">
      <c r="A128" s="6" t="str">
        <f>HYPERLINK("https://grants.gov/search-results-detail/357955","AF-DRC-PDS-FY25-05")</f>
        <v>AF-DRC-PDS-FY25-05</v>
      </c>
      <c r="B128" s="6" t="s">
        <v>584</v>
      </c>
      <c r="C128" s="6" t="s">
        <v>580</v>
      </c>
      <c r="D128" s="6" t="s">
        <v>581</v>
      </c>
      <c r="E128" s="7">
        <v>45705</v>
      </c>
      <c r="F128" s="8">
        <v>100000</v>
      </c>
      <c r="G128" s="8">
        <v>100000</v>
      </c>
      <c r="H128" s="6">
        <v>1</v>
      </c>
      <c r="I128" s="6" t="s">
        <v>585</v>
      </c>
      <c r="J128" s="6" t="s">
        <v>586</v>
      </c>
    </row>
    <row r="129" spans="1:10" s="6" customFormat="1" ht="201.6" x14ac:dyDescent="0.3">
      <c r="A129" s="6" t="str">
        <f>HYPERLINK("https://grants.gov/search-results-detail/357950","AF-DRC-PDS-FY25-01")</f>
        <v>AF-DRC-PDS-FY25-01</v>
      </c>
      <c r="B129" s="6" t="s">
        <v>587</v>
      </c>
      <c r="C129" s="6" t="s">
        <v>580</v>
      </c>
      <c r="D129" s="6" t="s">
        <v>581</v>
      </c>
      <c r="E129" s="7">
        <v>45747</v>
      </c>
      <c r="F129" s="8">
        <v>25000</v>
      </c>
      <c r="G129" s="8">
        <v>2000</v>
      </c>
      <c r="H129" s="6">
        <v>10</v>
      </c>
      <c r="I129" s="6" t="s">
        <v>588</v>
      </c>
      <c r="J129" s="6" t="s">
        <v>589</v>
      </c>
    </row>
    <row r="130" spans="1:10" s="6" customFormat="1" ht="409.6" x14ac:dyDescent="0.3">
      <c r="A130" s="6" t="str">
        <f>HYPERLINK("https://grants.gov/search-results-detail/325599","AFPRA-20-04")</f>
        <v>AFPRA-20-04</v>
      </c>
      <c r="B130" s="6" t="s">
        <v>1790</v>
      </c>
      <c r="C130" s="6" t="s">
        <v>1791</v>
      </c>
      <c r="D130" s="6" t="s">
        <v>1792</v>
      </c>
      <c r="F130" s="8">
        <v>10000</v>
      </c>
      <c r="G130" s="8">
        <v>3000</v>
      </c>
      <c r="H130" s="6">
        <v>6</v>
      </c>
      <c r="I130" s="6" t="s">
        <v>1793</v>
      </c>
      <c r="J130" s="6" t="s">
        <v>1794</v>
      </c>
    </row>
    <row r="131" spans="1:10" s="6" customFormat="1" ht="216" x14ac:dyDescent="0.3">
      <c r="A131" s="6" t="str">
        <f>HYPERLINK("https://grants.gov/search-results-detail/357050","CPAIG2025")</f>
        <v>CPAIG2025</v>
      </c>
      <c r="B131" s="6" t="s">
        <v>1017</v>
      </c>
      <c r="C131" s="6" t="s">
        <v>1018</v>
      </c>
      <c r="D131" s="6" t="s">
        <v>1019</v>
      </c>
      <c r="E131" s="7">
        <v>45777</v>
      </c>
      <c r="F131" s="8">
        <v>150000</v>
      </c>
      <c r="G131" s="8">
        <v>25000</v>
      </c>
      <c r="H131" s="6">
        <v>8</v>
      </c>
      <c r="I131" s="6" t="s">
        <v>1020</v>
      </c>
      <c r="J131" s="6" t="s">
        <v>1021</v>
      </c>
    </row>
    <row r="132" spans="1:10" s="6" customFormat="1" ht="409.6" x14ac:dyDescent="0.3">
      <c r="A132" s="6" t="str">
        <f>HYPERLINK("https://grants.gov/search-results-detail/356916","USAFCP2025")</f>
        <v>USAFCP2025</v>
      </c>
      <c r="B132" s="6" t="s">
        <v>1125</v>
      </c>
      <c r="C132" s="6" t="s">
        <v>1018</v>
      </c>
      <c r="D132" s="6" t="s">
        <v>1019</v>
      </c>
      <c r="E132" s="7">
        <v>45777</v>
      </c>
      <c r="F132" s="8">
        <v>500000</v>
      </c>
      <c r="G132" s="8">
        <v>25000</v>
      </c>
      <c r="H132" s="6">
        <v>30</v>
      </c>
      <c r="I132" s="6" t="s">
        <v>1126</v>
      </c>
      <c r="J132" s="6" t="s">
        <v>1127</v>
      </c>
    </row>
    <row r="133" spans="1:10" s="6" customFormat="1" ht="409.6" x14ac:dyDescent="0.3">
      <c r="A133" s="6" t="str">
        <f>HYPERLINK("https://grants.gov/search-results-detail/346532","AFCP-UR-2023")</f>
        <v>AFCP-UR-2023</v>
      </c>
      <c r="B133" s="6" t="s">
        <v>1533</v>
      </c>
      <c r="C133" s="6" t="s">
        <v>1018</v>
      </c>
      <c r="D133" s="6" t="s">
        <v>1019</v>
      </c>
      <c r="F133" s="8">
        <v>500000</v>
      </c>
      <c r="G133" s="8">
        <v>50000</v>
      </c>
      <c r="H133" s="6">
        <v>20</v>
      </c>
      <c r="I133" s="6" t="s">
        <v>1534</v>
      </c>
      <c r="J133" s="6" t="s">
        <v>1535</v>
      </c>
    </row>
    <row r="134" spans="1:10" s="6" customFormat="1" ht="409.6" x14ac:dyDescent="0.3">
      <c r="A134" s="6" t="str">
        <f>HYPERLINK("https://grants.gov/search-results-detail/336244","ESP22APS")</f>
        <v>ESP22APS</v>
      </c>
      <c r="B134" s="6" t="s">
        <v>1670</v>
      </c>
      <c r="C134" s="6" t="s">
        <v>1671</v>
      </c>
      <c r="D134" s="6" t="s">
        <v>1672</v>
      </c>
      <c r="F134" s="8">
        <v>75000</v>
      </c>
      <c r="G134" s="8">
        <v>25000</v>
      </c>
      <c r="I134" s="6" t="s">
        <v>1673</v>
      </c>
      <c r="J134" s="6" t="s">
        <v>1674</v>
      </c>
    </row>
    <row r="135" spans="1:10" s="6" customFormat="1" ht="409.6" x14ac:dyDescent="0.3">
      <c r="A135" s="6" t="str">
        <f>HYPERLINK("https://grants.gov/search-results-detail/356932","TR-NOFO-FY25-01")</f>
        <v>TR-NOFO-FY25-01</v>
      </c>
      <c r="B135" s="6" t="s">
        <v>1134</v>
      </c>
      <c r="C135" s="6" t="s">
        <v>1135</v>
      </c>
      <c r="D135" s="6" t="s">
        <v>1136</v>
      </c>
      <c r="E135" s="7">
        <v>45779</v>
      </c>
      <c r="F135" s="8">
        <v>35000</v>
      </c>
      <c r="G135" s="8">
        <v>15000</v>
      </c>
      <c r="I135" s="6" t="s">
        <v>1137</v>
      </c>
      <c r="J135" s="6" t="s">
        <v>1138</v>
      </c>
    </row>
    <row r="136" spans="1:10" s="6" customFormat="1" ht="409.6" x14ac:dyDescent="0.3">
      <c r="A136" s="6" t="str">
        <f>HYPERLINK("https://grants.gov/search-results-detail/358347","PDS-FI-FY25-01")</f>
        <v>PDS-FI-FY25-01</v>
      </c>
      <c r="B136" s="6" t="s">
        <v>82</v>
      </c>
      <c r="C136" s="6" t="s">
        <v>83</v>
      </c>
      <c r="D136" s="6" t="s">
        <v>84</v>
      </c>
      <c r="E136" s="7">
        <v>45744</v>
      </c>
      <c r="F136" s="8">
        <v>20000</v>
      </c>
      <c r="G136" s="8">
        <v>5000</v>
      </c>
      <c r="H136" s="6">
        <v>5</v>
      </c>
      <c r="I136" s="6" t="s">
        <v>85</v>
      </c>
      <c r="J136" s="6" t="s">
        <v>86</v>
      </c>
    </row>
    <row r="137" spans="1:10" s="6" customFormat="1" ht="409.6" x14ac:dyDescent="0.3">
      <c r="A137" s="6" t="str">
        <f>HYPERLINK("https://grants.gov/search-results-detail/346716","DOS-PDS-LIBREVILLE-FY23-01")</f>
        <v>DOS-PDS-LIBREVILLE-FY23-01</v>
      </c>
      <c r="B137" s="6" t="s">
        <v>1528</v>
      </c>
      <c r="C137" s="6" t="s">
        <v>1529</v>
      </c>
      <c r="D137" s="6" t="s">
        <v>1530</v>
      </c>
      <c r="F137" s="8">
        <v>12500</v>
      </c>
      <c r="G137" s="8">
        <v>5000</v>
      </c>
      <c r="H137" s="6">
        <v>3</v>
      </c>
      <c r="I137" s="6" t="s">
        <v>1531</v>
      </c>
      <c r="J137" s="6" t="s">
        <v>1532</v>
      </c>
    </row>
    <row r="138" spans="1:10" s="6" customFormat="1" ht="409.6" x14ac:dyDescent="0.3">
      <c r="A138" s="6" t="str">
        <f>HYPERLINK("https://grants.gov/search-results-detail/353281","PDS-DOS-GEO-FY25-002")</f>
        <v>PDS-DOS-GEO-FY25-002</v>
      </c>
      <c r="B138" s="6" t="s">
        <v>1325</v>
      </c>
      <c r="C138" s="6" t="s">
        <v>1326</v>
      </c>
      <c r="D138" s="6" t="s">
        <v>1327</v>
      </c>
      <c r="F138" s="8">
        <v>24000</v>
      </c>
      <c r="G138" s="8">
        <v>5000</v>
      </c>
      <c r="H138" s="6">
        <v>15</v>
      </c>
      <c r="I138" s="6" t="s">
        <v>1328</v>
      </c>
      <c r="J138" s="6" t="s">
        <v>1329</v>
      </c>
    </row>
    <row r="139" spans="1:10" s="6" customFormat="1" ht="409.6" x14ac:dyDescent="0.3">
      <c r="A139" s="6" t="str">
        <f>HYPERLINK("https://grants.gov/search-results-detail/357404","DOS-PDS-MAL-FY25-01")</f>
        <v>DOS-PDS-MAL-FY25-01</v>
      </c>
      <c r="B139" s="6" t="s">
        <v>996</v>
      </c>
      <c r="C139" s="6" t="s">
        <v>997</v>
      </c>
      <c r="D139" s="6" t="s">
        <v>998</v>
      </c>
      <c r="E139" s="7">
        <v>45777</v>
      </c>
      <c r="F139" s="8">
        <v>50000</v>
      </c>
      <c r="G139" s="8">
        <v>5000</v>
      </c>
      <c r="H139" s="6">
        <v>8</v>
      </c>
      <c r="I139" s="6" t="s">
        <v>735</v>
      </c>
      <c r="J139" s="6" t="s">
        <v>999</v>
      </c>
    </row>
    <row r="140" spans="1:10" s="6" customFormat="1" ht="388.8" x14ac:dyDescent="0.3">
      <c r="A140" s="6" t="str">
        <f>HYPERLINK("https://grants.gov/search-results-detail/331306","ROMENOFO002DOSEUR")</f>
        <v>ROMENOFO002DOSEUR</v>
      </c>
      <c r="B140" s="6" t="s">
        <v>1726</v>
      </c>
      <c r="C140" s="6" t="s">
        <v>1727</v>
      </c>
      <c r="D140" s="6" t="s">
        <v>1728</v>
      </c>
      <c r="F140" s="8">
        <v>100000</v>
      </c>
      <c r="G140" s="8">
        <v>10000</v>
      </c>
      <c r="I140" s="6" t="s">
        <v>1729</v>
      </c>
      <c r="J140" s="6" t="s">
        <v>1730</v>
      </c>
    </row>
    <row r="141" spans="1:10" s="6" customFormat="1" ht="409.6" x14ac:dyDescent="0.3">
      <c r="A141" s="6" t="str">
        <f>HYPERLINK("https://grants.gov/search-results-detail/357860","DOS-NBO-PDS-FY25-002-AFCP")</f>
        <v>DOS-NBO-PDS-FY25-002-AFCP</v>
      </c>
      <c r="B141" s="6" t="s">
        <v>671</v>
      </c>
      <c r="C141" s="6" t="s">
        <v>672</v>
      </c>
      <c r="D141" s="6" t="s">
        <v>673</v>
      </c>
      <c r="E141" s="7">
        <v>45747</v>
      </c>
      <c r="F141" s="8">
        <v>500000</v>
      </c>
      <c r="G141" s="8">
        <v>25000</v>
      </c>
      <c r="H141" s="6">
        <v>1</v>
      </c>
      <c r="I141" s="6" t="s">
        <v>674</v>
      </c>
      <c r="J141" s="6" t="s">
        <v>675</v>
      </c>
    </row>
    <row r="142" spans="1:10" s="6" customFormat="1" ht="409.6" x14ac:dyDescent="0.3">
      <c r="A142" s="6" t="str">
        <f>HYPERLINK("https://grants.gov/search-results-detail/357786","LUXEM-PDS-FY25-04")</f>
        <v>LUXEM-PDS-FY25-04</v>
      </c>
      <c r="B142" s="6" t="s">
        <v>748</v>
      </c>
      <c r="C142" s="6" t="s">
        <v>749</v>
      </c>
      <c r="D142" s="6" t="s">
        <v>750</v>
      </c>
      <c r="E142" s="7">
        <v>45781</v>
      </c>
      <c r="F142" s="8">
        <v>15000</v>
      </c>
      <c r="G142" s="8">
        <v>3000</v>
      </c>
      <c r="I142" s="6" t="s">
        <v>751</v>
      </c>
      <c r="J142" s="6" t="s">
        <v>752</v>
      </c>
    </row>
    <row r="143" spans="1:10" s="6" customFormat="1" ht="409.6" x14ac:dyDescent="0.3">
      <c r="A143" s="6" t="str">
        <f>HYPERLINK("https://grants.gov/search-results-detail/357789","LUXEM-PDS-FY25-05")</f>
        <v>LUXEM-PDS-FY25-05</v>
      </c>
      <c r="B143" s="6" t="s">
        <v>753</v>
      </c>
      <c r="C143" s="6" t="s">
        <v>749</v>
      </c>
      <c r="D143" s="6" t="s">
        <v>750</v>
      </c>
      <c r="E143" s="7">
        <v>45781</v>
      </c>
      <c r="F143" s="8">
        <v>15000</v>
      </c>
      <c r="G143" s="8">
        <v>3000</v>
      </c>
      <c r="I143" s="6" t="s">
        <v>754</v>
      </c>
      <c r="J143" s="6" t="s">
        <v>755</v>
      </c>
    </row>
    <row r="144" spans="1:10" s="6" customFormat="1" ht="409.6" x14ac:dyDescent="0.3">
      <c r="A144" s="6" t="str">
        <f>HYPERLINK("https://grants.gov/search-results-detail/357781","LUXEM-PDS-FY25-03")</f>
        <v>LUXEM-PDS-FY25-03</v>
      </c>
      <c r="B144" s="6" t="s">
        <v>756</v>
      </c>
      <c r="C144" s="6" t="s">
        <v>749</v>
      </c>
      <c r="D144" s="6" t="s">
        <v>750</v>
      </c>
      <c r="E144" s="7">
        <v>45781</v>
      </c>
      <c r="F144" s="8">
        <v>15000</v>
      </c>
      <c r="G144" s="8">
        <v>3000</v>
      </c>
      <c r="I144" s="6" t="s">
        <v>757</v>
      </c>
      <c r="J144" s="6" t="s">
        <v>758</v>
      </c>
    </row>
    <row r="145" spans="1:10" s="6" customFormat="1" ht="409.6" x14ac:dyDescent="0.3">
      <c r="A145" s="6" t="str">
        <f>HYPERLINK("https://grants.gov/search-results-detail/357780","LUXEM-PDS-FY25-02")</f>
        <v>LUXEM-PDS-FY25-02</v>
      </c>
      <c r="B145" s="6" t="s">
        <v>759</v>
      </c>
      <c r="C145" s="6" t="s">
        <v>749</v>
      </c>
      <c r="D145" s="6" t="s">
        <v>750</v>
      </c>
      <c r="E145" s="7">
        <v>45781</v>
      </c>
      <c r="F145" s="8">
        <v>15000</v>
      </c>
      <c r="G145" s="8">
        <v>3000</v>
      </c>
      <c r="I145" s="6" t="s">
        <v>760</v>
      </c>
      <c r="J145" s="6" t="s">
        <v>761</v>
      </c>
    </row>
    <row r="146" spans="1:10" s="6" customFormat="1" ht="360" x14ac:dyDescent="0.3">
      <c r="A146" s="6" t="str">
        <f>HYPERLINK("https://grants.gov/search-results-detail/358205","PD-FY25-01")</f>
        <v>PD-FY25-01</v>
      </c>
      <c r="B146" s="6" t="s">
        <v>317</v>
      </c>
      <c r="C146" s="6" t="s">
        <v>318</v>
      </c>
      <c r="D146" s="6" t="s">
        <v>319</v>
      </c>
      <c r="E146" s="7">
        <v>45748</v>
      </c>
      <c r="F146" s="8">
        <v>75000</v>
      </c>
      <c r="G146" s="8">
        <v>10000</v>
      </c>
      <c r="H146" s="6">
        <v>10</v>
      </c>
      <c r="I146" s="6" t="s">
        <v>320</v>
      </c>
      <c r="J146" s="6" t="s">
        <v>321</v>
      </c>
    </row>
    <row r="147" spans="1:10" s="6" customFormat="1" ht="409.6" x14ac:dyDescent="0.3">
      <c r="A147" s="6" t="str">
        <f>HYPERLINK("https://grants.gov/search-results-detail/357931","25-MMR-NOFO-003")</f>
        <v>25-MMR-NOFO-003</v>
      </c>
      <c r="B147" s="6" t="s">
        <v>606</v>
      </c>
      <c r="C147" s="6" t="s">
        <v>607</v>
      </c>
      <c r="D147" s="6" t="s">
        <v>608</v>
      </c>
      <c r="E147" s="7">
        <v>45762</v>
      </c>
      <c r="F147" s="8">
        <v>10000</v>
      </c>
      <c r="G147" s="8">
        <v>5000</v>
      </c>
      <c r="H147" s="6">
        <v>10</v>
      </c>
      <c r="I147" s="6" t="s">
        <v>609</v>
      </c>
      <c r="J147" s="6" t="s">
        <v>610</v>
      </c>
    </row>
    <row r="148" spans="1:10" s="6" customFormat="1" ht="409.6" x14ac:dyDescent="0.3">
      <c r="A148" s="6" t="str">
        <f>HYPERLINK("https://grants.gov/search-results-detail/357930","25-MMR-NOFO-002")</f>
        <v>25-MMR-NOFO-002</v>
      </c>
      <c r="B148" s="6" t="s">
        <v>611</v>
      </c>
      <c r="C148" s="6" t="s">
        <v>607</v>
      </c>
      <c r="D148" s="6" t="s">
        <v>608</v>
      </c>
      <c r="E148" s="7">
        <v>45762</v>
      </c>
      <c r="F148" s="8">
        <v>20000</v>
      </c>
      <c r="G148" s="8">
        <v>5000</v>
      </c>
      <c r="H148" s="6">
        <v>10</v>
      </c>
      <c r="I148" s="6" t="s">
        <v>609</v>
      </c>
      <c r="J148" s="6" t="s">
        <v>612</v>
      </c>
    </row>
    <row r="149" spans="1:10" s="6" customFormat="1" ht="409.6" x14ac:dyDescent="0.3">
      <c r="A149" s="6" t="str">
        <f>HYPERLINK("https://grants.gov/search-results-detail/357895","25-MMR-NOFO-001")</f>
        <v>25-MMR-NOFO-001</v>
      </c>
      <c r="B149" s="6" t="s">
        <v>645</v>
      </c>
      <c r="C149" s="6" t="s">
        <v>607</v>
      </c>
      <c r="D149" s="6" t="s">
        <v>608</v>
      </c>
      <c r="E149" s="7">
        <v>45762</v>
      </c>
      <c r="F149" s="8">
        <v>99999</v>
      </c>
      <c r="G149" s="8">
        <v>5000</v>
      </c>
      <c r="H149" s="6">
        <v>10</v>
      </c>
      <c r="I149" s="6" t="s">
        <v>646</v>
      </c>
      <c r="J149" s="6" t="s">
        <v>647</v>
      </c>
    </row>
    <row r="150" spans="1:10" s="6" customFormat="1" ht="187.2" x14ac:dyDescent="0.3">
      <c r="A150" s="6" t="str">
        <f>HYPERLINK("https://grants.gov/search-results-detail/357984","AF-PDS-APS-FY25-01")</f>
        <v>AF-PDS-APS-FY25-01</v>
      </c>
      <c r="B150" s="6" t="s">
        <v>559</v>
      </c>
      <c r="C150" s="6" t="s">
        <v>560</v>
      </c>
      <c r="D150" s="6" t="s">
        <v>561</v>
      </c>
      <c r="E150" s="7">
        <v>45719</v>
      </c>
      <c r="F150" s="8">
        <v>50000</v>
      </c>
      <c r="G150" s="8">
        <v>20000</v>
      </c>
      <c r="H150" s="6">
        <v>22</v>
      </c>
      <c r="I150" s="6" t="s">
        <v>562</v>
      </c>
      <c r="J150" s="6" t="s">
        <v>563</v>
      </c>
    </row>
    <row r="151" spans="1:10" s="6" customFormat="1" ht="316.8" x14ac:dyDescent="0.3">
      <c r="A151" s="6" t="str">
        <f>HYPERLINK("https://grants.gov/search-results-detail/358115","PDS-MGA-APS-FY25-01")</f>
        <v>PDS-MGA-APS-FY25-01</v>
      </c>
      <c r="B151" s="6" t="s">
        <v>444</v>
      </c>
      <c r="C151" s="6" t="s">
        <v>445</v>
      </c>
      <c r="D151" s="6" t="s">
        <v>446</v>
      </c>
      <c r="E151" s="7">
        <v>45792</v>
      </c>
      <c r="F151" s="8">
        <v>80000</v>
      </c>
      <c r="G151" s="8">
        <v>20000</v>
      </c>
      <c r="I151" s="6" t="s">
        <v>447</v>
      </c>
      <c r="J151" s="6" t="s">
        <v>448</v>
      </c>
    </row>
    <row r="152" spans="1:10" s="6" customFormat="1" ht="331.2" x14ac:dyDescent="0.3">
      <c r="A152" s="6" t="str">
        <f>HYPERLINK("https://grants.gov/search-results-detail/357978","PDS-MGA-FY25-01")</f>
        <v>PDS-MGA-FY25-01</v>
      </c>
      <c r="B152" s="6" t="s">
        <v>570</v>
      </c>
      <c r="C152" s="6" t="s">
        <v>445</v>
      </c>
      <c r="D152" s="6" t="s">
        <v>446</v>
      </c>
      <c r="E152" s="7">
        <v>45792</v>
      </c>
      <c r="F152" s="8">
        <v>30000</v>
      </c>
      <c r="G152" s="8">
        <v>5000</v>
      </c>
      <c r="I152" s="6" t="s">
        <v>571</v>
      </c>
      <c r="J152" s="6" t="s">
        <v>572</v>
      </c>
    </row>
    <row r="153" spans="1:10" s="6" customFormat="1" ht="409.6" x14ac:dyDescent="0.3">
      <c r="A153" s="6" t="str">
        <f>HYPERLINK("https://grants.gov/search-results-detail/357896","PDS-OSL-FY25-0002")</f>
        <v>PDS-OSL-FY25-0002</v>
      </c>
      <c r="B153" s="6" t="s">
        <v>635</v>
      </c>
      <c r="C153" s="6" t="s">
        <v>636</v>
      </c>
      <c r="D153" s="6" t="s">
        <v>637</v>
      </c>
      <c r="E153" s="7">
        <v>45703</v>
      </c>
      <c r="F153" s="8">
        <v>35000</v>
      </c>
      <c r="G153" s="8">
        <v>5000</v>
      </c>
      <c r="I153" s="6" t="s">
        <v>638</v>
      </c>
      <c r="J153" s="6" t="s">
        <v>639</v>
      </c>
    </row>
    <row r="154" spans="1:10" s="6" customFormat="1" ht="409.6" x14ac:dyDescent="0.3">
      <c r="A154" s="6" t="str">
        <f>HYPERLINK("https://grants.gov/search-results-detail/357636","FY25-PHL-AEIF")</f>
        <v>FY25-PHL-AEIF</v>
      </c>
      <c r="B154" s="6" t="s">
        <v>877</v>
      </c>
      <c r="C154" s="6" t="s">
        <v>878</v>
      </c>
      <c r="D154" s="6" t="s">
        <v>879</v>
      </c>
      <c r="E154" s="7">
        <v>45719</v>
      </c>
      <c r="F154" s="8">
        <v>35000</v>
      </c>
      <c r="G154" s="8">
        <v>5000</v>
      </c>
      <c r="H154" s="6">
        <v>3</v>
      </c>
      <c r="I154" s="6" t="s">
        <v>880</v>
      </c>
      <c r="J154" s="6" t="s">
        <v>881</v>
      </c>
    </row>
    <row r="155" spans="1:10" s="6" customFormat="1" ht="409.6" x14ac:dyDescent="0.3">
      <c r="A155" s="6" t="str">
        <f>HYPERLINK("https://grants.gov/search-results-detail/357898","DOSRUS-25-GR-001")</f>
        <v>DOSRUS-25-GR-001</v>
      </c>
      <c r="B155" s="6" t="s">
        <v>630</v>
      </c>
      <c r="C155" s="6" t="s">
        <v>631</v>
      </c>
      <c r="D155" s="6" t="s">
        <v>632</v>
      </c>
      <c r="E155" s="7">
        <v>45719</v>
      </c>
      <c r="F155" s="8">
        <v>250000</v>
      </c>
      <c r="G155" s="8">
        <v>25000</v>
      </c>
      <c r="H155" s="6">
        <v>100</v>
      </c>
      <c r="I155" s="6" t="s">
        <v>633</v>
      </c>
      <c r="J155" s="6" t="s">
        <v>634</v>
      </c>
    </row>
    <row r="156" spans="1:10" s="6" customFormat="1" ht="409.6" x14ac:dyDescent="0.3">
      <c r="A156" s="6" t="str">
        <f>HYPERLINK("https://grants.gov/search-results-detail/357900","PDS-KIGALI-FY25-002")</f>
        <v>PDS-KIGALI-FY25-002</v>
      </c>
      <c r="B156" s="6" t="s">
        <v>640</v>
      </c>
      <c r="C156" s="6" t="s">
        <v>641</v>
      </c>
      <c r="D156" s="6" t="s">
        <v>642</v>
      </c>
      <c r="E156" s="7">
        <v>45711</v>
      </c>
      <c r="F156" s="8">
        <v>35000</v>
      </c>
      <c r="G156" s="8">
        <v>5000</v>
      </c>
      <c r="H156" s="6">
        <v>2</v>
      </c>
      <c r="I156" s="6" t="s">
        <v>643</v>
      </c>
      <c r="J156" s="6" t="s">
        <v>644</v>
      </c>
    </row>
    <row r="157" spans="1:10" s="6" customFormat="1" ht="172.8" x14ac:dyDescent="0.3">
      <c r="A157" s="6" t="str">
        <f>HYPERLINK("https://grants.gov/search-results-detail/357500","PAS-MBA-FY25-AEIF-01")</f>
        <v>PAS-MBA-FY25-AEIF-01</v>
      </c>
      <c r="B157" s="6" t="s">
        <v>939</v>
      </c>
      <c r="C157" s="6" t="s">
        <v>940</v>
      </c>
      <c r="D157" s="6" t="s">
        <v>941</v>
      </c>
      <c r="E157" s="7">
        <v>45703</v>
      </c>
      <c r="F157" s="8">
        <v>35000</v>
      </c>
      <c r="G157" s="8">
        <v>5000</v>
      </c>
      <c r="H157" s="6">
        <v>3</v>
      </c>
      <c r="I157" s="6" t="s">
        <v>942</v>
      </c>
      <c r="J157" s="6" t="s">
        <v>943</v>
      </c>
    </row>
    <row r="158" spans="1:10" s="6" customFormat="1" ht="403.2" x14ac:dyDescent="0.3">
      <c r="A158" s="6" t="str">
        <f>HYPERLINK("https://grants.gov/search-results-detail/344437","GVA-SGP-2023-002")</f>
        <v>GVA-SGP-2023-002</v>
      </c>
      <c r="B158" s="6" t="s">
        <v>1574</v>
      </c>
      <c r="C158" s="6" t="s">
        <v>1575</v>
      </c>
      <c r="D158" s="6" t="s">
        <v>1576</v>
      </c>
      <c r="F158" s="8">
        <v>100000</v>
      </c>
      <c r="G158" s="8">
        <v>1000</v>
      </c>
      <c r="I158" s="6" t="s">
        <v>1577</v>
      </c>
      <c r="J158" s="6" t="s">
        <v>1578</v>
      </c>
    </row>
    <row r="159" spans="1:10" s="6" customFormat="1" ht="316.8" x14ac:dyDescent="0.3">
      <c r="A159" s="6" t="str">
        <f>HYPERLINK("https://grants.gov/search-results-detail/326733","GVA-SGP-2020-001")</f>
        <v>GVA-SGP-2020-001</v>
      </c>
      <c r="B159" s="6" t="s">
        <v>1782</v>
      </c>
      <c r="C159" s="6" t="s">
        <v>1575</v>
      </c>
      <c r="D159" s="6" t="s">
        <v>1576</v>
      </c>
      <c r="F159" s="8">
        <v>15000</v>
      </c>
      <c r="G159" s="8">
        <v>5000</v>
      </c>
      <c r="H159" s="6">
        <v>5</v>
      </c>
      <c r="I159" s="6" t="s">
        <v>1783</v>
      </c>
      <c r="J159" s="6" t="s">
        <v>1784</v>
      </c>
    </row>
    <row r="160" spans="1:10" s="6" customFormat="1" ht="172.8" x14ac:dyDescent="0.3">
      <c r="A160" s="6" t="str">
        <f>HYPERLINK("https://grants.gov/search-results-detail/357932","PDS-HAN-HCMC-FY25")</f>
        <v>PDS-HAN-HCMC-FY25</v>
      </c>
      <c r="B160" s="6" t="s">
        <v>601</v>
      </c>
      <c r="C160" s="6" t="s">
        <v>602</v>
      </c>
      <c r="D160" s="6" t="s">
        <v>603</v>
      </c>
      <c r="E160" s="7">
        <v>45718</v>
      </c>
      <c r="F160" s="8">
        <v>30000</v>
      </c>
      <c r="G160" s="8">
        <v>7500</v>
      </c>
      <c r="H160" s="6">
        <v>25</v>
      </c>
      <c r="I160" s="6" t="s">
        <v>604</v>
      </c>
      <c r="J160" s="6" t="s">
        <v>605</v>
      </c>
    </row>
    <row r="161" spans="1:10" s="6" customFormat="1" ht="403.2" x14ac:dyDescent="0.3">
      <c r="A161" s="6" t="str">
        <f>HYPERLINK("https://grants.gov/search-results-detail/357678","PAS-ZAF-FY25-03")</f>
        <v>PAS-ZAF-FY25-03</v>
      </c>
      <c r="B161" s="6" t="s">
        <v>840</v>
      </c>
      <c r="C161" s="6" t="s">
        <v>771</v>
      </c>
      <c r="D161" s="6" t="s">
        <v>772</v>
      </c>
      <c r="E161" s="7">
        <v>45704</v>
      </c>
      <c r="F161" s="8">
        <v>69000</v>
      </c>
      <c r="G161" s="8">
        <v>25000</v>
      </c>
      <c r="H161" s="6">
        <v>1</v>
      </c>
      <c r="I161" s="6" t="s">
        <v>841</v>
      </c>
      <c r="J161" s="6" t="s">
        <v>842</v>
      </c>
    </row>
    <row r="162" spans="1:10" s="6" customFormat="1" ht="172.8" x14ac:dyDescent="0.3">
      <c r="A162" s="6" t="str">
        <f>HYPERLINK("https://grants.gov/search-results-detail/357797","PAS-ZAF-FY25-02")</f>
        <v>PAS-ZAF-FY25-02</v>
      </c>
      <c r="B162" s="6" t="s">
        <v>770</v>
      </c>
      <c r="C162" s="6" t="s">
        <v>771</v>
      </c>
      <c r="D162" s="6" t="s">
        <v>772</v>
      </c>
      <c r="F162" s="8">
        <v>25000</v>
      </c>
      <c r="G162" s="8">
        <v>5000</v>
      </c>
      <c r="H162" s="6">
        <v>10</v>
      </c>
      <c r="I162" s="6" t="s">
        <v>773</v>
      </c>
      <c r="J162" s="6" t="s">
        <v>774</v>
      </c>
    </row>
    <row r="163" spans="1:10" s="6" customFormat="1" ht="409.6" x14ac:dyDescent="0.3">
      <c r="A163" s="6" t="str">
        <f>HYPERLINK("https://grants.gov/search-results-detail/357673","DOT-OST-2024-103")</f>
        <v>DOT-OST-2024-103</v>
      </c>
      <c r="B163" s="6" t="s">
        <v>700</v>
      </c>
      <c r="C163" s="6" t="s">
        <v>701</v>
      </c>
      <c r="D163" s="6" t="s">
        <v>702</v>
      </c>
      <c r="F163" s="8">
        <v>750000</v>
      </c>
      <c r="G163" s="8">
        <v>200000</v>
      </c>
      <c r="H163" s="6">
        <v>50</v>
      </c>
      <c r="I163" s="6" t="s">
        <v>703</v>
      </c>
      <c r="J163" s="6" t="s">
        <v>704</v>
      </c>
    </row>
    <row r="164" spans="1:10" s="6" customFormat="1" ht="409.6" x14ac:dyDescent="0.3">
      <c r="A164" s="6" t="str">
        <f>HYPERLINK("https://grants.gov/search-results-detail/39841","FAA-COE-JAMS")</f>
        <v>FAA-COE-JAMS</v>
      </c>
      <c r="B164" s="6" t="s">
        <v>1429</v>
      </c>
      <c r="C164" s="6" t="s">
        <v>1430</v>
      </c>
      <c r="D164" s="6" t="s">
        <v>1431</v>
      </c>
      <c r="F164" s="8">
        <v>20000000</v>
      </c>
      <c r="G164" s="8">
        <v>0</v>
      </c>
      <c r="I164" s="6" t="s">
        <v>1432</v>
      </c>
      <c r="J164" s="6" t="s">
        <v>1433</v>
      </c>
    </row>
    <row r="165" spans="1:10" s="6" customFormat="1" ht="331.2" x14ac:dyDescent="0.3">
      <c r="A165" s="6" t="str">
        <f>HYPERLINK("https://grants.gov/search-results-detail/358151","693JJ325NF00010")</f>
        <v>693JJ325NF00010</v>
      </c>
      <c r="B165" s="6" t="s">
        <v>398</v>
      </c>
      <c r="C165" s="6" t="s">
        <v>399</v>
      </c>
      <c r="D165" s="6" t="s">
        <v>400</v>
      </c>
      <c r="E165" s="7">
        <v>45729</v>
      </c>
      <c r="F165" s="8">
        <v>250000000</v>
      </c>
      <c r="G165" s="8">
        <v>32500000</v>
      </c>
      <c r="I165" s="6" t="s">
        <v>401</v>
      </c>
      <c r="J165" s="6" t="s">
        <v>402</v>
      </c>
    </row>
    <row r="166" spans="1:10" s="6" customFormat="1" ht="72" x14ac:dyDescent="0.3">
      <c r="A166" s="6" t="str">
        <f>HYPERLINK("https://grants.gov/search-results-detail/358379","FR-CCD-23-009")</f>
        <v>FR-CCD-23-009</v>
      </c>
      <c r="B166" s="6" t="s">
        <v>60</v>
      </c>
      <c r="C166" s="6" t="s">
        <v>61</v>
      </c>
      <c r="D166" s="6" t="s">
        <v>62</v>
      </c>
      <c r="E166" s="7">
        <v>45716</v>
      </c>
      <c r="F166" s="8">
        <v>1126000</v>
      </c>
      <c r="G166" s="8">
        <v>0</v>
      </c>
      <c r="H166" s="6">
        <v>1</v>
      </c>
      <c r="I166" s="6" t="s">
        <v>63</v>
      </c>
      <c r="J166" s="6" t="s">
        <v>64</v>
      </c>
    </row>
    <row r="167" spans="1:10" s="6" customFormat="1" ht="316.8" x14ac:dyDescent="0.3">
      <c r="A167" s="6" t="str">
        <f>HYPERLINK("https://grants.gov/search-results-detail/357506","ED-GRANTS-120324-001")</f>
        <v>ED-GRANTS-120324-001</v>
      </c>
      <c r="B167" s="6" t="s">
        <v>947</v>
      </c>
      <c r="C167" s="6" t="s">
        <v>125</v>
      </c>
      <c r="D167" s="6" t="s">
        <v>126</v>
      </c>
      <c r="E167" s="7">
        <v>45706</v>
      </c>
      <c r="F167" s="8"/>
      <c r="G167" s="8"/>
      <c r="H167" s="6">
        <v>4</v>
      </c>
      <c r="I167" s="6" t="s">
        <v>948</v>
      </c>
      <c r="J167" s="6" t="s">
        <v>949</v>
      </c>
    </row>
    <row r="168" spans="1:10" s="6" customFormat="1" ht="331.2" x14ac:dyDescent="0.3">
      <c r="A168" s="6" t="str">
        <f>HYPERLINK("https://grants.gov/search-results-detail/357739","ED-GRANTS-121624-001")</f>
        <v>ED-GRANTS-121624-001</v>
      </c>
      <c r="B168" s="6" t="s">
        <v>800</v>
      </c>
      <c r="C168" s="6" t="s">
        <v>125</v>
      </c>
      <c r="D168" s="6" t="s">
        <v>126</v>
      </c>
      <c r="E168" s="7">
        <v>45719</v>
      </c>
      <c r="F168" s="8">
        <v>798050</v>
      </c>
      <c r="G168" s="8"/>
      <c r="H168" s="6">
        <v>64</v>
      </c>
      <c r="I168" s="6" t="s">
        <v>801</v>
      </c>
      <c r="J168" s="6" t="s">
        <v>802</v>
      </c>
    </row>
    <row r="169" spans="1:10" s="6" customFormat="1" ht="409.6" x14ac:dyDescent="0.3">
      <c r="A169" s="6" t="str">
        <f>HYPERLINK("https://grants.gov/search-results-detail/356997","ED-GRANTS-110624-001")</f>
        <v>ED-GRANTS-110624-001</v>
      </c>
      <c r="B169" s="6" t="s">
        <v>1117</v>
      </c>
      <c r="C169" s="6" t="s">
        <v>125</v>
      </c>
      <c r="D169" s="6" t="s">
        <v>126</v>
      </c>
      <c r="E169" s="7">
        <v>45722</v>
      </c>
      <c r="F169" s="8">
        <v>750000</v>
      </c>
      <c r="G169" s="8"/>
      <c r="H169" s="6">
        <v>8</v>
      </c>
      <c r="I169" s="6" t="s">
        <v>1118</v>
      </c>
      <c r="J169" s="6" t="s">
        <v>1119</v>
      </c>
    </row>
    <row r="170" spans="1:10" s="6" customFormat="1" ht="331.2" x14ac:dyDescent="0.3">
      <c r="A170" s="6" t="str">
        <f>HYPERLINK("https://grants.gov/search-results-detail/357007","ED-GRANTS-111224-001")</f>
        <v>ED-GRANTS-111224-001</v>
      </c>
      <c r="B170" s="6" t="s">
        <v>1107</v>
      </c>
      <c r="C170" s="6" t="s">
        <v>125</v>
      </c>
      <c r="D170" s="6" t="s">
        <v>126</v>
      </c>
      <c r="E170" s="7">
        <v>45723</v>
      </c>
      <c r="F170" s="8"/>
      <c r="G170" s="8"/>
      <c r="I170" s="6" t="s">
        <v>1108</v>
      </c>
      <c r="J170" s="6" t="s">
        <v>1109</v>
      </c>
    </row>
    <row r="171" spans="1:10" s="6" customFormat="1" ht="230.4" x14ac:dyDescent="0.3">
      <c r="A171" s="6" t="str">
        <f>HYPERLINK("https://grants.gov/search-results-detail/357997","ED-GRANTS-010825-001")</f>
        <v>ED-GRANTS-010825-001</v>
      </c>
      <c r="B171" s="6" t="s">
        <v>464</v>
      </c>
      <c r="C171" s="6" t="s">
        <v>125</v>
      </c>
      <c r="D171" s="6" t="s">
        <v>126</v>
      </c>
      <c r="E171" s="7">
        <v>45726</v>
      </c>
      <c r="F171" s="8"/>
      <c r="G171" s="8"/>
      <c r="H171" s="6">
        <v>15</v>
      </c>
      <c r="I171" s="6" t="s">
        <v>465</v>
      </c>
      <c r="J171" s="6" t="s">
        <v>466</v>
      </c>
    </row>
    <row r="172" spans="1:10" s="6" customFormat="1" ht="360" x14ac:dyDescent="0.3">
      <c r="A172" s="6" t="str">
        <f>HYPERLINK("https://grants.gov/search-results-detail/358048","ED-GRANTS-010725-001")</f>
        <v>ED-GRANTS-010725-001</v>
      </c>
      <c r="B172" s="6" t="s">
        <v>509</v>
      </c>
      <c r="C172" s="6" t="s">
        <v>125</v>
      </c>
      <c r="D172" s="6" t="s">
        <v>126</v>
      </c>
      <c r="E172" s="7">
        <v>45726</v>
      </c>
      <c r="F172" s="8"/>
      <c r="G172" s="8"/>
      <c r="H172" s="6">
        <v>35</v>
      </c>
      <c r="I172" s="6" t="s">
        <v>510</v>
      </c>
      <c r="J172" s="6" t="s">
        <v>511</v>
      </c>
    </row>
    <row r="173" spans="1:10" s="6" customFormat="1" ht="374.4" x14ac:dyDescent="0.3">
      <c r="A173" s="6" t="str">
        <f>HYPERLINK("https://grants.gov/search-results-detail/357775","ED-GRANTS-122024-001")</f>
        <v>ED-GRANTS-122024-001</v>
      </c>
      <c r="B173" s="6" t="s">
        <v>654</v>
      </c>
      <c r="C173" s="6" t="s">
        <v>125</v>
      </c>
      <c r="D173" s="6" t="s">
        <v>126</v>
      </c>
      <c r="E173" s="7">
        <v>45730</v>
      </c>
      <c r="F173" s="8">
        <v>15000000</v>
      </c>
      <c r="G173" s="8"/>
      <c r="H173" s="6">
        <v>2</v>
      </c>
      <c r="I173" s="6" t="s">
        <v>655</v>
      </c>
      <c r="J173" s="6" t="s">
        <v>656</v>
      </c>
    </row>
    <row r="174" spans="1:10" s="6" customFormat="1" ht="409.6" x14ac:dyDescent="0.3">
      <c r="A174" s="6" t="str">
        <f>HYPERLINK("https://grants.gov/search-results-detail/358221","ED-GRANTS-011525-001")</f>
        <v>ED-GRANTS-011525-001</v>
      </c>
      <c r="B174" s="6" t="s">
        <v>301</v>
      </c>
      <c r="C174" s="6" t="s">
        <v>125</v>
      </c>
      <c r="D174" s="6" t="s">
        <v>126</v>
      </c>
      <c r="E174" s="7">
        <v>45733</v>
      </c>
      <c r="F174" s="8">
        <v>4099988</v>
      </c>
      <c r="G174" s="8"/>
      <c r="H174" s="6">
        <v>1</v>
      </c>
      <c r="I174" s="6" t="s">
        <v>302</v>
      </c>
      <c r="J174" s="6" t="s">
        <v>303</v>
      </c>
    </row>
    <row r="175" spans="1:10" s="6" customFormat="1" ht="388.8" x14ac:dyDescent="0.3">
      <c r="A175" s="6" t="str">
        <f>HYPERLINK("https://grants.gov/search-results-detail/358154","ED-GRANTS-011425-001")</f>
        <v>ED-GRANTS-011425-001</v>
      </c>
      <c r="B175" s="6" t="s">
        <v>330</v>
      </c>
      <c r="C175" s="6" t="s">
        <v>125</v>
      </c>
      <c r="D175" s="6" t="s">
        <v>126</v>
      </c>
      <c r="E175" s="7">
        <v>45733</v>
      </c>
      <c r="F175" s="8">
        <v>599706</v>
      </c>
      <c r="G175" s="8"/>
      <c r="H175" s="6">
        <v>1</v>
      </c>
      <c r="I175" s="6" t="s">
        <v>331</v>
      </c>
      <c r="J175" s="6" t="s">
        <v>332</v>
      </c>
    </row>
    <row r="176" spans="1:10" s="6" customFormat="1" ht="374.4" x14ac:dyDescent="0.3">
      <c r="A176" s="6" t="str">
        <f>HYPERLINK("https://grants.gov/search-results-detail/358276","ED-GRANTS-011725-001")</f>
        <v>ED-GRANTS-011725-001</v>
      </c>
      <c r="B176" s="6" t="s">
        <v>150</v>
      </c>
      <c r="C176" s="6" t="s">
        <v>125</v>
      </c>
      <c r="D176" s="6" t="s">
        <v>126</v>
      </c>
      <c r="E176" s="7">
        <v>45734</v>
      </c>
      <c r="F176" s="8"/>
      <c r="G176" s="8"/>
      <c r="H176" s="6">
        <v>20</v>
      </c>
      <c r="I176" s="6" t="s">
        <v>151</v>
      </c>
      <c r="J176" s="6" t="s">
        <v>152</v>
      </c>
    </row>
    <row r="177" spans="1:10" s="6" customFormat="1" ht="331.2" x14ac:dyDescent="0.3">
      <c r="A177" s="6" t="str">
        <f>HYPERLINK("https://grants.gov/search-results-detail/358332","ED-GRANTS-011725-004")</f>
        <v>ED-GRANTS-011725-004</v>
      </c>
      <c r="B177" s="6" t="s">
        <v>124</v>
      </c>
      <c r="C177" s="6" t="s">
        <v>125</v>
      </c>
      <c r="D177" s="6" t="s">
        <v>126</v>
      </c>
      <c r="E177" s="7">
        <v>45775</v>
      </c>
      <c r="F177" s="8">
        <v>500000</v>
      </c>
      <c r="G177" s="8"/>
      <c r="H177" s="6">
        <v>29</v>
      </c>
      <c r="I177" s="6" t="s">
        <v>127</v>
      </c>
      <c r="J177" s="6" t="s">
        <v>128</v>
      </c>
    </row>
    <row r="178" spans="1:10" s="6" customFormat="1" ht="409.6" x14ac:dyDescent="0.3">
      <c r="A178" s="6" t="str">
        <f>HYPERLINK("https://grants.gov/search-results-detail/358288","ED-GRANTS-011725-002")</f>
        <v>ED-GRANTS-011725-002</v>
      </c>
      <c r="B178" s="6" t="s">
        <v>129</v>
      </c>
      <c r="C178" s="6" t="s">
        <v>125</v>
      </c>
      <c r="D178" s="6" t="s">
        <v>126</v>
      </c>
      <c r="E178" s="7">
        <v>45775</v>
      </c>
      <c r="F178" s="8">
        <v>500000</v>
      </c>
      <c r="G178" s="8"/>
      <c r="H178" s="6">
        <v>29</v>
      </c>
      <c r="I178" s="6" t="s">
        <v>130</v>
      </c>
      <c r="J178" s="6" t="s">
        <v>131</v>
      </c>
    </row>
    <row r="179" spans="1:10" s="6" customFormat="1" ht="316.8" x14ac:dyDescent="0.3">
      <c r="A179" s="6" t="str">
        <f>HYPERLINK("https://grants.gov/search-results-detail/358298","ED-GRANTS-011725-003")</f>
        <v>ED-GRANTS-011725-003</v>
      </c>
      <c r="B179" s="6" t="s">
        <v>132</v>
      </c>
      <c r="C179" s="6" t="s">
        <v>125</v>
      </c>
      <c r="D179" s="6" t="s">
        <v>126</v>
      </c>
      <c r="E179" s="7">
        <v>45775</v>
      </c>
      <c r="F179" s="8"/>
      <c r="G179" s="8"/>
      <c r="H179" s="6">
        <v>45</v>
      </c>
      <c r="I179" s="6" t="s">
        <v>133</v>
      </c>
      <c r="J179" s="6" t="s">
        <v>134</v>
      </c>
    </row>
    <row r="180" spans="1:10" s="6" customFormat="1" ht="403.2" x14ac:dyDescent="0.3">
      <c r="A180" s="6" t="str">
        <f>HYPERLINK("https://grants.gov/search-results-detail/357294","ED-GRANTS-112524-001")</f>
        <v>ED-GRANTS-112524-001</v>
      </c>
      <c r="B180" s="6" t="s">
        <v>1014</v>
      </c>
      <c r="C180" s="6" t="s">
        <v>125</v>
      </c>
      <c r="D180" s="6" t="s">
        <v>126</v>
      </c>
      <c r="E180" s="7">
        <v>45786</v>
      </c>
      <c r="F180" s="8">
        <v>2416936</v>
      </c>
      <c r="G180" s="8">
        <v>4000</v>
      </c>
      <c r="H180" s="6">
        <v>1300</v>
      </c>
      <c r="I180" s="6" t="s">
        <v>1015</v>
      </c>
      <c r="J180" s="6" t="s">
        <v>1016</v>
      </c>
    </row>
    <row r="181" spans="1:10" s="6" customFormat="1" ht="409.6" x14ac:dyDescent="0.3">
      <c r="A181" s="6" t="str">
        <f>HYPERLINK("https://grants.gov/search-results-detail/335739","ED-GRANTS-092021-001")</f>
        <v>ED-GRANTS-092021-001</v>
      </c>
      <c r="B181" s="6" t="s">
        <v>1675</v>
      </c>
      <c r="C181" s="6" t="s">
        <v>125</v>
      </c>
      <c r="D181" s="6" t="s">
        <v>126</v>
      </c>
      <c r="F181" s="8"/>
      <c r="G181" s="8"/>
      <c r="H181" s="6">
        <v>13</v>
      </c>
      <c r="I181" s="6" t="s">
        <v>1676</v>
      </c>
      <c r="J181" s="6" t="s">
        <v>1677</v>
      </c>
    </row>
    <row r="182" spans="1:10" s="6" customFormat="1" ht="288" x14ac:dyDescent="0.3">
      <c r="A182" s="6" t="str">
        <f>HYPERLINK("https://grants.gov/search-results-detail/49325","ED-GRANTS-072909-002")</f>
        <v>ED-GRANTS-072909-002</v>
      </c>
      <c r="B182" s="6" t="s">
        <v>2031</v>
      </c>
      <c r="C182" s="6" t="s">
        <v>125</v>
      </c>
      <c r="D182" s="6" t="s">
        <v>126</v>
      </c>
      <c r="F182" s="8"/>
      <c r="G182" s="8"/>
      <c r="I182" s="6" t="s">
        <v>2032</v>
      </c>
      <c r="J182" s="6" t="s">
        <v>2033</v>
      </c>
    </row>
    <row r="183" spans="1:10" s="6" customFormat="1" ht="409.6" x14ac:dyDescent="0.3">
      <c r="A183" s="6" t="str">
        <f>HYPERLINK("https://grants.gov/search-results-detail/358156","EPA-R5-GL2025-CWMP")</f>
        <v>EPA-R5-GL2025-CWMP</v>
      </c>
      <c r="B183" s="6" t="s">
        <v>403</v>
      </c>
      <c r="C183" s="6" t="s">
        <v>391</v>
      </c>
      <c r="D183" s="6" t="s">
        <v>392</v>
      </c>
      <c r="E183" s="7">
        <v>45730</v>
      </c>
      <c r="F183" s="8">
        <v>12000000</v>
      </c>
      <c r="G183" s="8"/>
      <c r="H183" s="6">
        <v>1</v>
      </c>
      <c r="I183" s="6" t="s">
        <v>393</v>
      </c>
      <c r="J183" s="6" t="s">
        <v>404</v>
      </c>
    </row>
    <row r="184" spans="1:10" s="6" customFormat="1" ht="129.6" x14ac:dyDescent="0.3">
      <c r="A184" s="6" t="str">
        <f>HYPERLINK("https://grants.gov/search-results-detail/358155","EPA-R5-GL2025-FMSP")</f>
        <v>EPA-R5-GL2025-FMSP</v>
      </c>
      <c r="B184" s="6" t="s">
        <v>405</v>
      </c>
      <c r="C184" s="6" t="s">
        <v>391</v>
      </c>
      <c r="D184" s="6" t="s">
        <v>392</v>
      </c>
      <c r="E184" s="7">
        <v>45730</v>
      </c>
      <c r="F184" s="8">
        <v>7200000</v>
      </c>
      <c r="G184" s="8"/>
      <c r="H184" s="6">
        <v>1</v>
      </c>
      <c r="I184" s="6" t="s">
        <v>393</v>
      </c>
      <c r="J184" s="6" t="s">
        <v>406</v>
      </c>
    </row>
    <row r="185" spans="1:10" s="6" customFormat="1" ht="316.8" x14ac:dyDescent="0.3">
      <c r="A185" s="6" t="str">
        <f>HYPERLINK("https://grants.gov/search-results-detail/358164","EPA-OMS-25-01")</f>
        <v>EPA-OMS-25-01</v>
      </c>
      <c r="B185" s="6" t="s">
        <v>390</v>
      </c>
      <c r="C185" s="6" t="s">
        <v>391</v>
      </c>
      <c r="D185" s="6" t="s">
        <v>392</v>
      </c>
      <c r="E185" s="7">
        <v>45740</v>
      </c>
      <c r="F185" s="8">
        <v>600000</v>
      </c>
      <c r="G185" s="8"/>
      <c r="H185" s="6">
        <v>35</v>
      </c>
      <c r="I185" s="6" t="s">
        <v>393</v>
      </c>
      <c r="J185" s="6" t="s">
        <v>394</v>
      </c>
    </row>
    <row r="186" spans="1:10" s="6" customFormat="1" ht="374.4" x14ac:dyDescent="0.3">
      <c r="A186" s="6" t="str">
        <f>HYPERLINK("https://grants.gov/search-results-detail/355732","HHS-2025-ACF-ECD-TH-0106")</f>
        <v>HHS-2025-ACF-ECD-TH-0106</v>
      </c>
      <c r="B186" s="6" t="s">
        <v>727</v>
      </c>
      <c r="C186" s="6" t="s">
        <v>728</v>
      </c>
      <c r="D186" s="6" t="s">
        <v>729</v>
      </c>
      <c r="E186" s="7">
        <v>45733</v>
      </c>
      <c r="F186" s="8">
        <v>1000000</v>
      </c>
      <c r="G186" s="8">
        <v>250000</v>
      </c>
      <c r="H186" s="6">
        <v>6</v>
      </c>
      <c r="I186" s="6" t="s">
        <v>730</v>
      </c>
      <c r="J186" s="6" t="s">
        <v>731</v>
      </c>
    </row>
    <row r="187" spans="1:10" s="6" customFormat="1" ht="374.4" x14ac:dyDescent="0.3">
      <c r="A187" s="6" t="str">
        <f>HYPERLINK("https://grants.gov/search-results-detail/355798","HHS-2025-ACF-ANA-NR-0113")</f>
        <v>HHS-2025-ACF-ANA-NR-0113</v>
      </c>
      <c r="B187" s="6" t="s">
        <v>353</v>
      </c>
      <c r="C187" s="6" t="s">
        <v>354</v>
      </c>
      <c r="D187" s="6" t="s">
        <v>355</v>
      </c>
      <c r="E187" s="7">
        <v>45761</v>
      </c>
      <c r="F187" s="8">
        <v>900000</v>
      </c>
      <c r="G187" s="8">
        <v>100000</v>
      </c>
      <c r="H187" s="6">
        <v>4</v>
      </c>
      <c r="I187" s="6" t="s">
        <v>356</v>
      </c>
      <c r="J187" s="6" t="s">
        <v>357</v>
      </c>
    </row>
    <row r="188" spans="1:10" s="6" customFormat="1" ht="409.6" x14ac:dyDescent="0.3">
      <c r="A188" s="6" t="str">
        <f>HYPERLINK("https://grants.gov/search-results-detail/355562","HHS-2025-ACF-ANA-NB-0115")</f>
        <v>HHS-2025-ACF-ANA-NB-0115</v>
      </c>
      <c r="B188" s="6" t="s">
        <v>369</v>
      </c>
      <c r="C188" s="6" t="s">
        <v>354</v>
      </c>
      <c r="D188" s="6" t="s">
        <v>355</v>
      </c>
      <c r="E188" s="7">
        <v>45761</v>
      </c>
      <c r="F188" s="8">
        <v>900000</v>
      </c>
      <c r="G188" s="8">
        <v>100000</v>
      </c>
      <c r="H188" s="6">
        <v>7</v>
      </c>
      <c r="I188" s="6" t="s">
        <v>370</v>
      </c>
      <c r="J188" s="6" t="s">
        <v>371</v>
      </c>
    </row>
    <row r="189" spans="1:10" s="6" customFormat="1" ht="403.2" x14ac:dyDescent="0.3">
      <c r="A189" s="6" t="str">
        <f>HYPERLINK("https://grants.gov/search-results-detail/355564","HHS-2025-ACF-ANA-NL-0112")</f>
        <v>HHS-2025-ACF-ANA-NL-0112</v>
      </c>
      <c r="B189" s="6" t="s">
        <v>372</v>
      </c>
      <c r="C189" s="6" t="s">
        <v>354</v>
      </c>
      <c r="D189" s="6" t="s">
        <v>355</v>
      </c>
      <c r="E189" s="7">
        <v>45761</v>
      </c>
      <c r="F189" s="8">
        <v>900000</v>
      </c>
      <c r="G189" s="8">
        <v>100000</v>
      </c>
      <c r="H189" s="6">
        <v>9</v>
      </c>
      <c r="I189" s="6" t="s">
        <v>373</v>
      </c>
      <c r="J189" s="6" t="s">
        <v>374</v>
      </c>
    </row>
    <row r="190" spans="1:10" s="6" customFormat="1" ht="331.2" x14ac:dyDescent="0.3">
      <c r="A190" s="6" t="str">
        <f>HYPERLINK("https://grants.gov/search-results-detail/355699","HHS-2025-ACF-ACYF-CA-0074")</f>
        <v>HHS-2025-ACF-ACYF-CA-0074</v>
      </c>
      <c r="B190" s="6" t="s">
        <v>339</v>
      </c>
      <c r="C190" s="6" t="s">
        <v>340</v>
      </c>
      <c r="D190" s="6" t="s">
        <v>341</v>
      </c>
      <c r="E190" s="7">
        <v>45735</v>
      </c>
      <c r="F190" s="8">
        <v>1250000</v>
      </c>
      <c r="G190" s="8">
        <v>1250000</v>
      </c>
      <c r="H190" s="6">
        <v>1</v>
      </c>
      <c r="I190" s="6" t="s">
        <v>342</v>
      </c>
      <c r="J190" s="6" t="s">
        <v>343</v>
      </c>
    </row>
    <row r="191" spans="1:10" s="6" customFormat="1" ht="201.6" x14ac:dyDescent="0.3">
      <c r="A191" s="6" t="str">
        <f>HYPERLINK("https://grants.gov/search-results-detail/355692","HHS-2025-ACF-ACYF-CA-0078")</f>
        <v>HHS-2025-ACF-ACYF-CA-0078</v>
      </c>
      <c r="B191" s="6" t="s">
        <v>375</v>
      </c>
      <c r="C191" s="6" t="s">
        <v>340</v>
      </c>
      <c r="D191" s="6" t="s">
        <v>341</v>
      </c>
      <c r="E191" s="7">
        <v>45737</v>
      </c>
      <c r="F191" s="8">
        <v>250000</v>
      </c>
      <c r="G191" s="8">
        <v>200000</v>
      </c>
      <c r="H191" s="6">
        <v>6</v>
      </c>
      <c r="I191" s="6" t="s">
        <v>376</v>
      </c>
      <c r="J191" s="6" t="s">
        <v>377</v>
      </c>
    </row>
    <row r="192" spans="1:10" s="6" customFormat="1" ht="244.8" x14ac:dyDescent="0.3">
      <c r="A192" s="6" t="str">
        <f>HYPERLINK("https://grants.gov/search-results-detail/355255","HHS-2025-ACF-IOAS-OTIP-ZV-0002")</f>
        <v>HHS-2025-ACF-IOAS-OTIP-ZV-0002</v>
      </c>
      <c r="B192" s="6" t="s">
        <v>238</v>
      </c>
      <c r="C192" s="6" t="s">
        <v>239</v>
      </c>
      <c r="D192" s="6" t="s">
        <v>240</v>
      </c>
      <c r="E192" s="7">
        <v>45779</v>
      </c>
      <c r="F192" s="8">
        <v>5000000</v>
      </c>
      <c r="G192" s="8">
        <v>5000000</v>
      </c>
      <c r="H192" s="6">
        <v>1</v>
      </c>
      <c r="I192" s="6" t="s">
        <v>241</v>
      </c>
      <c r="J192" s="6" t="s">
        <v>242</v>
      </c>
    </row>
    <row r="193" spans="1:10" s="6" customFormat="1" ht="331.2" x14ac:dyDescent="0.3">
      <c r="A193" s="6" t="str">
        <f>HYPERLINK("https://grants.gov/search-results-detail/355835","HHS-2025-ACL-AOA-CSSG-0010")</f>
        <v>HHS-2025-ACL-AOA-CSSG-0010</v>
      </c>
      <c r="B193" s="6" t="s">
        <v>846</v>
      </c>
      <c r="C193" s="6" t="s">
        <v>109</v>
      </c>
      <c r="D193" s="6" t="s">
        <v>110</v>
      </c>
      <c r="E193" s="7">
        <v>45707</v>
      </c>
      <c r="F193" s="8">
        <v>1250000</v>
      </c>
      <c r="G193" s="8">
        <v>1100000</v>
      </c>
      <c r="H193" s="6">
        <v>5</v>
      </c>
      <c r="I193" s="6" t="s">
        <v>847</v>
      </c>
      <c r="J193" s="6" t="s">
        <v>848</v>
      </c>
    </row>
    <row r="194" spans="1:10" s="6" customFormat="1" ht="273.60000000000002" x14ac:dyDescent="0.3">
      <c r="A194" s="6" t="str">
        <f>HYPERLINK("https://grants.gov/search-results-detail/355839","HHS-2025-ACL-AOD-DDUC-0057")</f>
        <v>HHS-2025-ACL-AOD-DDUC-0057</v>
      </c>
      <c r="B194" s="6" t="s">
        <v>981</v>
      </c>
      <c r="C194" s="6" t="s">
        <v>109</v>
      </c>
      <c r="D194" s="6" t="s">
        <v>110</v>
      </c>
      <c r="E194" s="7">
        <v>45712</v>
      </c>
      <c r="F194" s="8">
        <v>636192</v>
      </c>
      <c r="G194" s="8">
        <v>620675</v>
      </c>
      <c r="H194" s="6">
        <v>3</v>
      </c>
      <c r="I194" s="6" t="s">
        <v>982</v>
      </c>
      <c r="J194" s="6" t="s">
        <v>983</v>
      </c>
    </row>
    <row r="195" spans="1:10" s="6" customFormat="1" ht="244.8" x14ac:dyDescent="0.3">
      <c r="A195" s="6" t="str">
        <f>HYPERLINK("https://grants.gov/search-results-detail/355836","HHS-2025-ACL-AOA-FPSG-0008")</f>
        <v>HHS-2025-ACL-AOA-FPSG-0008</v>
      </c>
      <c r="B195" s="6" t="s">
        <v>788</v>
      </c>
      <c r="C195" s="6" t="s">
        <v>109</v>
      </c>
      <c r="D195" s="6" t="s">
        <v>110</v>
      </c>
      <c r="E195" s="7">
        <v>45715</v>
      </c>
      <c r="F195" s="8">
        <v>1000000</v>
      </c>
      <c r="G195" s="8">
        <v>750000</v>
      </c>
      <c r="H195" s="6">
        <v>4</v>
      </c>
      <c r="I195" s="6" t="s">
        <v>789</v>
      </c>
      <c r="J195" s="6" t="s">
        <v>790</v>
      </c>
    </row>
    <row r="196" spans="1:10" s="6" customFormat="1" ht="259.2" x14ac:dyDescent="0.3">
      <c r="A196" s="6" t="str">
        <f>HYPERLINK("https://grants.gov/search-results-detail/355843","HHS-2025-ACL-AOA-FPSG-0007")</f>
        <v>HHS-2025-ACL-AOA-FPSG-0007</v>
      </c>
      <c r="B196" s="6" t="s">
        <v>791</v>
      </c>
      <c r="C196" s="6" t="s">
        <v>109</v>
      </c>
      <c r="D196" s="6" t="s">
        <v>110</v>
      </c>
      <c r="E196" s="7">
        <v>45715</v>
      </c>
      <c r="F196" s="8">
        <v>1250000</v>
      </c>
      <c r="G196" s="8">
        <v>1250000</v>
      </c>
      <c r="H196" s="6">
        <v>2</v>
      </c>
      <c r="I196" s="6" t="s">
        <v>792</v>
      </c>
      <c r="J196" s="6" t="s">
        <v>793</v>
      </c>
    </row>
    <row r="197" spans="1:10" s="6" customFormat="1" ht="172.8" x14ac:dyDescent="0.3">
      <c r="A197" s="6" t="str">
        <f>HYPERLINK("https://grants.gov/search-results-detail/357875","HHS-2025-ACL-NIDILRR-REGE-0120")</f>
        <v>HHS-2025-ACL-NIDILRR-REGE-0120</v>
      </c>
      <c r="B197" s="6" t="s">
        <v>657</v>
      </c>
      <c r="C197" s="6" t="s">
        <v>109</v>
      </c>
      <c r="D197" s="6" t="s">
        <v>110</v>
      </c>
      <c r="E197" s="7">
        <v>45722</v>
      </c>
      <c r="F197" s="8">
        <v>975000</v>
      </c>
      <c r="G197" s="8">
        <v>970000</v>
      </c>
      <c r="H197" s="6">
        <v>1</v>
      </c>
      <c r="I197" s="6" t="s">
        <v>658</v>
      </c>
      <c r="J197" s="6" t="s">
        <v>659</v>
      </c>
    </row>
    <row r="198" spans="1:10" s="6" customFormat="1" ht="129.6" x14ac:dyDescent="0.3">
      <c r="A198" s="6" t="str">
        <f>HYPERLINK("https://grants.gov/search-results-detail/355685","HHS-2025-ACL-NIDILRR-RTHF-0123")</f>
        <v>HHS-2025-ACL-NIDILRR-RTHF-0123</v>
      </c>
      <c r="B198" s="6" t="s">
        <v>426</v>
      </c>
      <c r="C198" s="6" t="s">
        <v>109</v>
      </c>
      <c r="D198" s="6" t="s">
        <v>110</v>
      </c>
      <c r="E198" s="7">
        <v>45726</v>
      </c>
      <c r="F198" s="8">
        <v>925000</v>
      </c>
      <c r="G198" s="8">
        <v>920000</v>
      </c>
      <c r="H198" s="6">
        <v>1</v>
      </c>
      <c r="I198" s="6" t="s">
        <v>348</v>
      </c>
      <c r="J198" s="6" t="s">
        <v>427</v>
      </c>
    </row>
    <row r="199" spans="1:10" s="6" customFormat="1" ht="316.8" x14ac:dyDescent="0.3">
      <c r="A199" s="6" t="str">
        <f>HYPERLINK("https://grants.gov/search-results-detail/357574","HHS-2025-ACL-CIP-MPPG-0025")</f>
        <v>HHS-2025-ACL-CIP-MPPG-0025</v>
      </c>
      <c r="B199" s="6" t="s">
        <v>407</v>
      </c>
      <c r="C199" s="6" t="s">
        <v>109</v>
      </c>
      <c r="D199" s="6" t="s">
        <v>110</v>
      </c>
      <c r="E199" s="7">
        <v>45730</v>
      </c>
      <c r="F199" s="8">
        <v>890000</v>
      </c>
      <c r="G199" s="8">
        <v>500000</v>
      </c>
      <c r="H199" s="6">
        <v>1</v>
      </c>
      <c r="I199" s="6" t="s">
        <v>408</v>
      </c>
      <c r="J199" s="6" t="s">
        <v>409</v>
      </c>
    </row>
    <row r="200" spans="1:10" s="6" customFormat="1" ht="216" x14ac:dyDescent="0.3">
      <c r="A200" s="6" t="str">
        <f>HYPERLINK("https://grants.gov/search-results-detail/357720","HHS-2025-ACL-CIP-NWGV-0029")</f>
        <v>HHS-2025-ACL-CIP-NWGV-0029</v>
      </c>
      <c r="B200" s="6" t="s">
        <v>293</v>
      </c>
      <c r="C200" s="6" t="s">
        <v>109</v>
      </c>
      <c r="D200" s="6" t="s">
        <v>110</v>
      </c>
      <c r="E200" s="7">
        <v>45733</v>
      </c>
      <c r="F200" s="8">
        <v>450000</v>
      </c>
      <c r="G200" s="8">
        <v>350000</v>
      </c>
      <c r="H200" s="6">
        <v>10</v>
      </c>
      <c r="I200" s="6" t="s">
        <v>294</v>
      </c>
      <c r="J200" s="6" t="s">
        <v>295</v>
      </c>
    </row>
    <row r="201" spans="1:10" s="6" customFormat="1" ht="273.60000000000002" x14ac:dyDescent="0.3">
      <c r="A201" s="6" t="str">
        <f>HYPERLINK("https://grants.gov/search-results-detail/355461","HHS-2025-ACL-NIDILRR-IFST-0107")</f>
        <v>HHS-2025-ACL-NIDILRR-IFST-0107</v>
      </c>
      <c r="B201" s="6" t="s">
        <v>825</v>
      </c>
      <c r="C201" s="6" t="s">
        <v>109</v>
      </c>
      <c r="D201" s="6" t="s">
        <v>110</v>
      </c>
      <c r="E201" s="7">
        <v>45733</v>
      </c>
      <c r="F201" s="8">
        <v>250000</v>
      </c>
      <c r="G201" s="8">
        <v>245000</v>
      </c>
      <c r="H201" s="6">
        <v>2</v>
      </c>
      <c r="I201" s="6" t="s">
        <v>826</v>
      </c>
      <c r="J201" s="6" t="s">
        <v>827</v>
      </c>
    </row>
    <row r="202" spans="1:10" s="6" customFormat="1" ht="288" x14ac:dyDescent="0.3">
      <c r="A202" s="6" t="str">
        <f>HYPERLINK("https://grants.gov/search-results-detail/355459","HHS-2025-ACL-NIDILRR-IFST-0106")</f>
        <v>HHS-2025-ACL-NIDILRR-IFST-0106</v>
      </c>
      <c r="B202" s="6" t="s">
        <v>834</v>
      </c>
      <c r="C202" s="6" t="s">
        <v>109</v>
      </c>
      <c r="D202" s="6" t="s">
        <v>110</v>
      </c>
      <c r="E202" s="7">
        <v>45733</v>
      </c>
      <c r="F202" s="8">
        <v>250000</v>
      </c>
      <c r="G202" s="8">
        <v>245000</v>
      </c>
      <c r="H202" s="6">
        <v>2</v>
      </c>
      <c r="I202" s="6" t="s">
        <v>835</v>
      </c>
      <c r="J202" s="6" t="s">
        <v>836</v>
      </c>
    </row>
    <row r="203" spans="1:10" s="6" customFormat="1" ht="187.2" x14ac:dyDescent="0.3">
      <c r="A203" s="6" t="str">
        <f>HYPERLINK("https://grants.gov/search-results-detail/355457","HHS-2025-ACL-NIDILRR-DPKT-0114")</f>
        <v>HHS-2025-ACL-NIDILRR-DPKT-0114</v>
      </c>
      <c r="B203" s="6" t="s">
        <v>900</v>
      </c>
      <c r="C203" s="6" t="s">
        <v>109</v>
      </c>
      <c r="D203" s="6" t="s">
        <v>110</v>
      </c>
      <c r="E203" s="7">
        <v>45733</v>
      </c>
      <c r="F203" s="8">
        <v>250000</v>
      </c>
      <c r="G203" s="8">
        <v>245000</v>
      </c>
      <c r="H203" s="6">
        <v>5</v>
      </c>
      <c r="I203" s="6" t="s">
        <v>348</v>
      </c>
      <c r="J203" s="6" t="s">
        <v>901</v>
      </c>
    </row>
    <row r="204" spans="1:10" s="6" customFormat="1" ht="259.2" x14ac:dyDescent="0.3">
      <c r="A204" s="6" t="str">
        <f>HYPERLINK("https://grants.gov/search-results-detail/355454","HHS-2025-ACL-NIDILRR-DPEM-0112")</f>
        <v>HHS-2025-ACL-NIDILRR-DPEM-0112</v>
      </c>
      <c r="B204" s="6" t="s">
        <v>347</v>
      </c>
      <c r="C204" s="6" t="s">
        <v>109</v>
      </c>
      <c r="D204" s="6" t="s">
        <v>110</v>
      </c>
      <c r="E204" s="7">
        <v>45734</v>
      </c>
      <c r="F204" s="8">
        <v>500000</v>
      </c>
      <c r="G204" s="8">
        <v>495000</v>
      </c>
      <c r="H204" s="6">
        <v>2</v>
      </c>
      <c r="I204" s="6" t="s">
        <v>348</v>
      </c>
      <c r="J204" s="6" t="s">
        <v>349</v>
      </c>
    </row>
    <row r="205" spans="1:10" s="6" customFormat="1" ht="259.2" x14ac:dyDescent="0.3">
      <c r="A205" s="6" t="str">
        <f>HYPERLINK("https://grants.gov/search-results-detail/355450","HHS-2025-ACL-NIDILRR-DPEM-0113")</f>
        <v>HHS-2025-ACL-NIDILRR-DPEM-0113</v>
      </c>
      <c r="B205" s="6" t="s">
        <v>350</v>
      </c>
      <c r="C205" s="6" t="s">
        <v>109</v>
      </c>
      <c r="D205" s="6" t="s">
        <v>110</v>
      </c>
      <c r="E205" s="7">
        <v>45734</v>
      </c>
      <c r="F205" s="8">
        <v>500000</v>
      </c>
      <c r="G205" s="8">
        <v>495000</v>
      </c>
      <c r="H205" s="6">
        <v>1</v>
      </c>
      <c r="I205" s="6" t="s">
        <v>351</v>
      </c>
      <c r="J205" s="6" t="s">
        <v>352</v>
      </c>
    </row>
    <row r="206" spans="1:10" s="6" customFormat="1" ht="144" x14ac:dyDescent="0.3">
      <c r="A206" s="6" t="str">
        <f>HYPERLINK("https://grants.gov/search-results-detail/355464","HHS-2025-ACL-NIDILRR-DPGE-0116")</f>
        <v>HHS-2025-ACL-NIDILRR-DPGE-0116</v>
      </c>
      <c r="B206" s="6" t="s">
        <v>113</v>
      </c>
      <c r="C206" s="6" t="s">
        <v>109</v>
      </c>
      <c r="D206" s="6" t="s">
        <v>110</v>
      </c>
      <c r="E206" s="7">
        <v>45741</v>
      </c>
      <c r="F206" s="8">
        <v>600000</v>
      </c>
      <c r="G206" s="8">
        <v>595000</v>
      </c>
      <c r="H206" s="6">
        <v>1</v>
      </c>
      <c r="I206" s="6" t="s">
        <v>114</v>
      </c>
      <c r="J206" s="6" t="s">
        <v>115</v>
      </c>
    </row>
    <row r="207" spans="1:10" s="6" customFormat="1" ht="129.6" x14ac:dyDescent="0.3">
      <c r="A207" s="6" t="str">
        <f>HYPERLINK("https://grants.gov/search-results-detail/355684","HHS-2025-ACL-NIDILRR-RTEM-0124")</f>
        <v>HHS-2025-ACL-NIDILRR-RTEM-0124</v>
      </c>
      <c r="B207" s="6" t="s">
        <v>567</v>
      </c>
      <c r="C207" s="6" t="s">
        <v>109</v>
      </c>
      <c r="D207" s="6" t="s">
        <v>110</v>
      </c>
      <c r="E207" s="7">
        <v>45747</v>
      </c>
      <c r="F207" s="8">
        <v>925000</v>
      </c>
      <c r="G207" s="8">
        <v>920000</v>
      </c>
      <c r="H207" s="6">
        <v>1</v>
      </c>
      <c r="I207" s="6" t="s">
        <v>568</v>
      </c>
      <c r="J207" s="6" t="s">
        <v>569</v>
      </c>
    </row>
    <row r="208" spans="1:10" s="6" customFormat="1" ht="144" x14ac:dyDescent="0.3">
      <c r="A208" s="6" t="str">
        <f>HYPERLINK("https://grants.gov/search-results-detail/355463","HHS-2025-ACL-NIDILRR-DPEM-0115")</f>
        <v>HHS-2025-ACL-NIDILRR-DPEM-0115</v>
      </c>
      <c r="B208" s="6" t="s">
        <v>229</v>
      </c>
      <c r="C208" s="6" t="s">
        <v>109</v>
      </c>
      <c r="D208" s="6" t="s">
        <v>110</v>
      </c>
      <c r="E208" s="7">
        <v>45751</v>
      </c>
      <c r="F208" s="8">
        <v>600000</v>
      </c>
      <c r="G208" s="8">
        <v>595000</v>
      </c>
      <c r="H208" s="6">
        <v>1</v>
      </c>
      <c r="I208" s="6" t="s">
        <v>230</v>
      </c>
      <c r="J208" s="6" t="s">
        <v>231</v>
      </c>
    </row>
    <row r="209" spans="1:10" s="6" customFormat="1" ht="172.8" x14ac:dyDescent="0.3">
      <c r="A209" s="6" t="str">
        <f>HYPERLINK("https://grants.gov/search-results-detail/355687","HHS-2025-ACL-NIDILRR-REGE-0121")</f>
        <v>HHS-2025-ACL-NIDILRR-REGE-0121</v>
      </c>
      <c r="B209" s="6" t="s">
        <v>515</v>
      </c>
      <c r="C209" s="6" t="s">
        <v>109</v>
      </c>
      <c r="D209" s="6" t="s">
        <v>110</v>
      </c>
      <c r="E209" s="7">
        <v>45751</v>
      </c>
      <c r="F209" s="8">
        <v>975000</v>
      </c>
      <c r="G209" s="8">
        <v>970000</v>
      </c>
      <c r="H209" s="6">
        <v>1</v>
      </c>
      <c r="I209" s="6" t="s">
        <v>516</v>
      </c>
      <c r="J209" s="6" t="s">
        <v>517</v>
      </c>
    </row>
    <row r="210" spans="1:10" s="6" customFormat="1" ht="187.2" x14ac:dyDescent="0.3">
      <c r="A210" s="6" t="str">
        <f>HYPERLINK("https://grants.gov/search-results-detail/355455","HHS-2025-ACL-NIDILRR-DPHF-0117")</f>
        <v>HHS-2025-ACL-NIDILRR-DPHF-0117</v>
      </c>
      <c r="B210" s="6" t="s">
        <v>108</v>
      </c>
      <c r="C210" s="6" t="s">
        <v>109</v>
      </c>
      <c r="D210" s="6" t="s">
        <v>110</v>
      </c>
      <c r="E210" s="7">
        <v>45755</v>
      </c>
      <c r="F210" s="8">
        <v>600000</v>
      </c>
      <c r="G210" s="8">
        <v>595000</v>
      </c>
      <c r="H210" s="6">
        <v>1</v>
      </c>
      <c r="I210" s="6" t="s">
        <v>111</v>
      </c>
      <c r="J210" s="6" t="s">
        <v>112</v>
      </c>
    </row>
    <row r="211" spans="1:10" s="6" customFormat="1" ht="172.8" x14ac:dyDescent="0.3">
      <c r="A211" s="6" t="str">
        <f>HYPERLINK("https://grants.gov/search-results-detail/355682","HHS-2025-ACL-NIDILRR-REGE-0122")</f>
        <v>HHS-2025-ACL-NIDILRR-REGE-0122</v>
      </c>
      <c r="B211" s="6" t="s">
        <v>344</v>
      </c>
      <c r="C211" s="6" t="s">
        <v>109</v>
      </c>
      <c r="D211" s="6" t="s">
        <v>110</v>
      </c>
      <c r="E211" s="7">
        <v>45765</v>
      </c>
      <c r="F211" s="8">
        <v>975000</v>
      </c>
      <c r="G211" s="8">
        <v>970000</v>
      </c>
      <c r="H211" s="6">
        <v>1</v>
      </c>
      <c r="I211" s="6" t="s">
        <v>345</v>
      </c>
      <c r="J211" s="6" t="s">
        <v>346</v>
      </c>
    </row>
    <row r="212" spans="1:10" s="6" customFormat="1" ht="129.6" x14ac:dyDescent="0.3">
      <c r="A212" s="6" t="str">
        <f>HYPERLINK("https://grants.gov/search-results-detail/357874","HHS-2025-ACL-NIDILRR-RTEM-0125")</f>
        <v>HHS-2025-ACL-NIDILRR-RTEM-0125</v>
      </c>
      <c r="B212" s="6" t="s">
        <v>660</v>
      </c>
      <c r="C212" s="6" t="s">
        <v>109</v>
      </c>
      <c r="D212" s="6" t="s">
        <v>110</v>
      </c>
      <c r="E212" s="7">
        <v>45772</v>
      </c>
      <c r="F212" s="8">
        <v>925000</v>
      </c>
      <c r="G212" s="8">
        <v>920000</v>
      </c>
      <c r="H212" s="6">
        <v>1</v>
      </c>
      <c r="I212" s="6" t="s">
        <v>661</v>
      </c>
      <c r="J212" s="6" t="s">
        <v>662</v>
      </c>
    </row>
    <row r="213" spans="1:10" s="6" customFormat="1" ht="187.2" x14ac:dyDescent="0.3">
      <c r="A213" s="6" t="str">
        <f>HYPERLINK("https://grants.gov/search-results-detail/358125","RFA-HS-25-001")</f>
        <v>RFA-HS-25-001</v>
      </c>
      <c r="B213" s="6" t="s">
        <v>428</v>
      </c>
      <c r="C213" s="6" t="s">
        <v>429</v>
      </c>
      <c r="D213" s="6" t="s">
        <v>430</v>
      </c>
      <c r="E213" s="7">
        <v>45757</v>
      </c>
      <c r="F213" s="8"/>
      <c r="G213" s="8"/>
      <c r="I213" s="6" t="s">
        <v>431</v>
      </c>
      <c r="J213" s="6" t="s">
        <v>432</v>
      </c>
    </row>
    <row r="214" spans="1:10" s="6" customFormat="1" ht="409.6" x14ac:dyDescent="0.3">
      <c r="A214" s="6" t="str">
        <f>HYPERLINK("https://grants.gov/search-results-detail/352988","ARPA-H-SOL-24-103")</f>
        <v>ARPA-H-SOL-24-103</v>
      </c>
      <c r="B214" s="6" t="s">
        <v>1338</v>
      </c>
      <c r="C214" s="6" t="s">
        <v>1097</v>
      </c>
      <c r="D214" s="6" t="s">
        <v>1098</v>
      </c>
      <c r="E214" s="7">
        <v>45730</v>
      </c>
      <c r="F214" s="8"/>
      <c r="G214" s="8"/>
      <c r="H214" s="6">
        <v>100</v>
      </c>
      <c r="I214" s="6" t="s">
        <v>507</v>
      </c>
      <c r="J214" s="6" t="s">
        <v>1339</v>
      </c>
    </row>
    <row r="215" spans="1:10" s="6" customFormat="1" ht="409.6" x14ac:dyDescent="0.3">
      <c r="A215" s="6" t="str">
        <f>HYPERLINK("https://grants.gov/search-results-detail/352989","ARPA-H-SOL-24-105")</f>
        <v>ARPA-H-SOL-24-105</v>
      </c>
      <c r="B215" s="6" t="s">
        <v>1340</v>
      </c>
      <c r="C215" s="6" t="s">
        <v>1097</v>
      </c>
      <c r="D215" s="6" t="s">
        <v>1098</v>
      </c>
      <c r="E215" s="7">
        <v>45730</v>
      </c>
      <c r="F215" s="8"/>
      <c r="G215" s="8"/>
      <c r="H215" s="6">
        <v>100</v>
      </c>
      <c r="I215" s="6" t="s">
        <v>1203</v>
      </c>
      <c r="J215" s="6" t="s">
        <v>1341</v>
      </c>
    </row>
    <row r="216" spans="1:10" s="6" customFormat="1" ht="409.6" x14ac:dyDescent="0.3">
      <c r="A216" s="6" t="str">
        <f>HYPERLINK("https://grants.gov/search-results-detail/352990","ARPA-H-SOL-24-104")</f>
        <v>ARPA-H-SOL-24-104</v>
      </c>
      <c r="B216" s="6" t="s">
        <v>1342</v>
      </c>
      <c r="C216" s="6" t="s">
        <v>1097</v>
      </c>
      <c r="D216" s="6" t="s">
        <v>1098</v>
      </c>
      <c r="E216" s="7">
        <v>45730</v>
      </c>
      <c r="F216" s="8"/>
      <c r="G216" s="8"/>
      <c r="H216" s="6">
        <v>100</v>
      </c>
      <c r="I216" s="6" t="s">
        <v>1343</v>
      </c>
      <c r="J216" s="6" t="s">
        <v>1344</v>
      </c>
    </row>
    <row r="217" spans="1:10" s="6" customFormat="1" ht="409.6" x14ac:dyDescent="0.3">
      <c r="A217" s="6" t="str">
        <f>HYPERLINK("https://grants.gov/search-results-detail/352977","ARPA-H-SOL-24-106")</f>
        <v>ARPA-H-SOL-24-106</v>
      </c>
      <c r="B217" s="6" t="s">
        <v>1345</v>
      </c>
      <c r="C217" s="6" t="s">
        <v>1097</v>
      </c>
      <c r="D217" s="6" t="s">
        <v>1098</v>
      </c>
      <c r="E217" s="7">
        <v>45730</v>
      </c>
      <c r="F217" s="8"/>
      <c r="G217" s="8"/>
      <c r="I217" s="6" t="s">
        <v>1203</v>
      </c>
      <c r="J217" s="6" t="s">
        <v>1346</v>
      </c>
    </row>
    <row r="218" spans="1:10" s="6" customFormat="1" ht="331.2" x14ac:dyDescent="0.3">
      <c r="A218" s="6" t="str">
        <f>HYPERLINK("https://grants.gov/search-results-detail/357079","ARPA-H-SOL-25-115")</f>
        <v>ARPA-H-SOL-25-115</v>
      </c>
      <c r="B218" s="6" t="s">
        <v>1096</v>
      </c>
      <c r="C218" s="6" t="s">
        <v>1097</v>
      </c>
      <c r="D218" s="6" t="s">
        <v>1098</v>
      </c>
      <c r="E218" s="7">
        <v>45761</v>
      </c>
      <c r="F218" s="8"/>
      <c r="G218" s="8"/>
      <c r="I218" s="6" t="s">
        <v>48</v>
      </c>
      <c r="J218" s="6" t="s">
        <v>1099</v>
      </c>
    </row>
    <row r="219" spans="1:10" s="6" customFormat="1" ht="187.2" x14ac:dyDescent="0.3">
      <c r="A219" s="6" t="str">
        <f>HYPERLINK("https://grants.gov/search-results-detail/355903","RFA-PS-25-112")</f>
        <v>RFA-PS-25-112</v>
      </c>
      <c r="B219" s="6" t="s">
        <v>815</v>
      </c>
      <c r="C219" s="6" t="s">
        <v>619</v>
      </c>
      <c r="D219" s="6" t="s">
        <v>620</v>
      </c>
      <c r="E219" s="7">
        <v>45707</v>
      </c>
      <c r="F219" s="8">
        <v>1200000</v>
      </c>
      <c r="G219" s="8">
        <v>900000</v>
      </c>
      <c r="H219" s="6">
        <v>1</v>
      </c>
      <c r="I219" s="6" t="s">
        <v>816</v>
      </c>
      <c r="J219" s="6" t="s">
        <v>817</v>
      </c>
    </row>
    <row r="220" spans="1:10" s="6" customFormat="1" ht="244.8" x14ac:dyDescent="0.3">
      <c r="A220" s="6" t="str">
        <f>HYPERLINK("https://grants.gov/search-results-detail/355904","RFA-PS-25-113")</f>
        <v>RFA-PS-25-113</v>
      </c>
      <c r="B220" s="6" t="s">
        <v>797</v>
      </c>
      <c r="C220" s="6" t="s">
        <v>619</v>
      </c>
      <c r="D220" s="6" t="s">
        <v>620</v>
      </c>
      <c r="E220" s="7">
        <v>45708</v>
      </c>
      <c r="F220" s="8">
        <v>475000</v>
      </c>
      <c r="G220" s="8">
        <v>350000</v>
      </c>
      <c r="H220" s="6">
        <v>2</v>
      </c>
      <c r="I220" s="6" t="s">
        <v>798</v>
      </c>
      <c r="J220" s="6" t="s">
        <v>799</v>
      </c>
    </row>
    <row r="221" spans="1:10" s="6" customFormat="1" ht="331.2" x14ac:dyDescent="0.3">
      <c r="A221" s="6" t="str">
        <f>HYPERLINK("https://grants.gov/search-results-detail/357053","RFA-OH-25-183")</f>
        <v>RFA-OH-25-183</v>
      </c>
      <c r="B221" s="6" t="s">
        <v>737</v>
      </c>
      <c r="C221" s="6" t="s">
        <v>619</v>
      </c>
      <c r="D221" s="6" t="s">
        <v>620</v>
      </c>
      <c r="E221" s="7">
        <v>45712</v>
      </c>
      <c r="F221" s="8">
        <v>3000000</v>
      </c>
      <c r="G221" s="8">
        <v>1000000</v>
      </c>
      <c r="H221" s="6">
        <v>1</v>
      </c>
      <c r="I221" s="6" t="s">
        <v>738</v>
      </c>
      <c r="J221" s="6" t="s">
        <v>739</v>
      </c>
    </row>
    <row r="222" spans="1:10" s="6" customFormat="1" ht="259.2" x14ac:dyDescent="0.3">
      <c r="A222" s="6" t="str">
        <f>HYPERLINK("https://grants.gov/search-results-detail/357922","RFA-CK-25-182")</f>
        <v>RFA-CK-25-182</v>
      </c>
      <c r="B222" s="6" t="s">
        <v>618</v>
      </c>
      <c r="C222" s="6" t="s">
        <v>619</v>
      </c>
      <c r="D222" s="6" t="s">
        <v>620</v>
      </c>
      <c r="E222" s="7">
        <v>45716</v>
      </c>
      <c r="F222" s="8">
        <v>5000000</v>
      </c>
      <c r="G222" s="8">
        <v>500000</v>
      </c>
      <c r="H222" s="6">
        <v>1</v>
      </c>
      <c r="I222" s="6" t="s">
        <v>621</v>
      </c>
      <c r="J222" s="6" t="s">
        <v>622</v>
      </c>
    </row>
    <row r="223" spans="1:10" s="6" customFormat="1" ht="331.2" x14ac:dyDescent="0.3">
      <c r="A223" s="6" t="str">
        <f>HYPERLINK("https://grants.gov/search-results-detail/356534","RFA-DP-25-126")</f>
        <v>RFA-DP-25-126</v>
      </c>
      <c r="B223" s="6" t="s">
        <v>831</v>
      </c>
      <c r="C223" s="6" t="s">
        <v>619</v>
      </c>
      <c r="D223" s="6" t="s">
        <v>620</v>
      </c>
      <c r="E223" s="7">
        <v>45716</v>
      </c>
      <c r="F223" s="8">
        <v>5902000</v>
      </c>
      <c r="G223" s="8">
        <v>0</v>
      </c>
      <c r="H223" s="6">
        <v>12</v>
      </c>
      <c r="I223" s="6" t="s">
        <v>832</v>
      </c>
      <c r="J223" s="6" t="s">
        <v>833</v>
      </c>
    </row>
    <row r="224" spans="1:10" s="6" customFormat="1" ht="158.4" x14ac:dyDescent="0.3">
      <c r="A224" s="6" t="str">
        <f>HYPERLINK("https://grants.gov/search-results-detail/356175","RFA-JG-25-137")</f>
        <v>RFA-JG-25-137</v>
      </c>
      <c r="B224" s="6" t="s">
        <v>1022</v>
      </c>
      <c r="C224" s="6" t="s">
        <v>619</v>
      </c>
      <c r="D224" s="6" t="s">
        <v>620</v>
      </c>
      <c r="E224" s="7">
        <v>45719</v>
      </c>
      <c r="F224" s="8">
        <v>2000000</v>
      </c>
      <c r="G224" s="8">
        <v>0</v>
      </c>
      <c r="H224" s="6">
        <v>2</v>
      </c>
      <c r="I224" s="6" t="s">
        <v>1023</v>
      </c>
      <c r="J224" s="6" t="s">
        <v>1024</v>
      </c>
    </row>
    <row r="225" spans="1:10" s="6" customFormat="1" ht="345.6" x14ac:dyDescent="0.3">
      <c r="A225" s="6" t="str">
        <f>HYPERLINK("https://grants.gov/search-results-detail/355215","CDC-RFA-DD-25-0157")</f>
        <v>CDC-RFA-DD-25-0157</v>
      </c>
      <c r="B225" s="6" t="s">
        <v>913</v>
      </c>
      <c r="C225" s="6" t="s">
        <v>914</v>
      </c>
      <c r="D225" s="6" t="s">
        <v>915</v>
      </c>
      <c r="E225" s="7">
        <v>45722</v>
      </c>
      <c r="F225" s="8">
        <v>290000</v>
      </c>
      <c r="G225" s="8">
        <v>200000</v>
      </c>
      <c r="H225" s="6">
        <v>39</v>
      </c>
      <c r="I225" s="6" t="s">
        <v>916</v>
      </c>
      <c r="J225" s="6" t="s">
        <v>917</v>
      </c>
    </row>
    <row r="226" spans="1:10" s="6" customFormat="1" ht="409.6" x14ac:dyDescent="0.3">
      <c r="A226" s="6" t="str">
        <f>HYPERLINK("https://grants.gov/search-results-detail/355997","CDC-RFA-DP-25-0012")</f>
        <v>CDC-RFA-DP-25-0012</v>
      </c>
      <c r="B226" s="6" t="s">
        <v>732</v>
      </c>
      <c r="C226" s="6" t="s">
        <v>733</v>
      </c>
      <c r="D226" s="6" t="s">
        <v>734</v>
      </c>
      <c r="E226" s="7">
        <v>45708</v>
      </c>
      <c r="F226" s="8">
        <v>900000</v>
      </c>
      <c r="G226" s="8">
        <v>350000</v>
      </c>
      <c r="H226" s="6">
        <v>38</v>
      </c>
      <c r="I226" s="6" t="s">
        <v>735</v>
      </c>
      <c r="J226" s="6" t="s">
        <v>736</v>
      </c>
    </row>
    <row r="227" spans="1:10" s="6" customFormat="1" ht="288" x14ac:dyDescent="0.3">
      <c r="A227" s="6" t="str">
        <f>HYPERLINK("https://grants.gov/search-results-detail/356169","CDC-RFA-CK-25-0144")</f>
        <v>CDC-RFA-CK-25-0144</v>
      </c>
      <c r="B227" s="6" t="s">
        <v>135</v>
      </c>
      <c r="C227" s="6" t="s">
        <v>136</v>
      </c>
      <c r="D227" s="6" t="s">
        <v>137</v>
      </c>
      <c r="E227" s="7">
        <v>45734</v>
      </c>
      <c r="F227" s="8">
        <v>100000</v>
      </c>
      <c r="G227" s="8">
        <v>75000</v>
      </c>
      <c r="H227" s="6">
        <v>1</v>
      </c>
      <c r="I227" s="6" t="s">
        <v>138</v>
      </c>
      <c r="J227" s="6" t="s">
        <v>139</v>
      </c>
    </row>
    <row r="228" spans="1:10" s="6" customFormat="1" ht="216" x14ac:dyDescent="0.3">
      <c r="A228" s="6" t="str">
        <f>HYPERLINK("https://grants.gov/search-results-detail/355935","CDC-RFA-CK-25-0018")</f>
        <v>CDC-RFA-CK-25-0018</v>
      </c>
      <c r="B228" s="6" t="s">
        <v>190</v>
      </c>
      <c r="C228" s="6" t="s">
        <v>136</v>
      </c>
      <c r="D228" s="6" t="s">
        <v>137</v>
      </c>
      <c r="E228" s="7">
        <v>45735</v>
      </c>
      <c r="F228" s="8">
        <v>650000</v>
      </c>
      <c r="G228" s="8">
        <v>550000</v>
      </c>
      <c r="H228" s="6">
        <v>6</v>
      </c>
      <c r="I228" s="6" t="s">
        <v>191</v>
      </c>
      <c r="J228" s="6" t="s">
        <v>192</v>
      </c>
    </row>
    <row r="229" spans="1:10" s="6" customFormat="1" ht="316.8" x14ac:dyDescent="0.3">
      <c r="A229" s="6" t="str">
        <f>HYPERLINK("https://grants.gov/search-results-detail/355911","CDC-RFA-IP-25-0007")</f>
        <v>CDC-RFA-IP-25-0007</v>
      </c>
      <c r="B229" s="6" t="s">
        <v>527</v>
      </c>
      <c r="C229" s="6" t="s">
        <v>528</v>
      </c>
      <c r="D229" s="6" t="s">
        <v>529</v>
      </c>
      <c r="E229" s="7">
        <v>45729</v>
      </c>
      <c r="F229" s="8">
        <v>0</v>
      </c>
      <c r="G229" s="8">
        <v>0</v>
      </c>
      <c r="H229" s="6">
        <v>66</v>
      </c>
      <c r="I229" s="6" t="s">
        <v>530</v>
      </c>
      <c r="J229" s="6" t="s">
        <v>531</v>
      </c>
    </row>
    <row r="230" spans="1:10" s="6" customFormat="1" ht="100.8" x14ac:dyDescent="0.3">
      <c r="A230" s="6" t="str">
        <f>HYPERLINK("https://grants.gov/search-results-detail/354875","CMS-2P2-25-001")</f>
        <v>CMS-2P2-25-001</v>
      </c>
      <c r="B230" s="6" t="s">
        <v>1256</v>
      </c>
      <c r="C230" s="6" t="s">
        <v>141</v>
      </c>
      <c r="D230" s="6" t="s">
        <v>142</v>
      </c>
      <c r="E230" s="7">
        <v>45716</v>
      </c>
      <c r="F230" s="8">
        <v>9550000</v>
      </c>
      <c r="G230" s="8">
        <v>0</v>
      </c>
      <c r="H230" s="6">
        <v>52</v>
      </c>
      <c r="I230" s="6" t="s">
        <v>1257</v>
      </c>
      <c r="J230" s="6" t="s">
        <v>1258</v>
      </c>
    </row>
    <row r="231" spans="1:10" s="6" customFormat="1" ht="409.6" x14ac:dyDescent="0.3">
      <c r="A231" s="6" t="str">
        <f>HYPERLINK("https://grants.gov/search-results-detail/357700","CMS-3Y3-25-001")</f>
        <v>CMS-3Y3-25-001</v>
      </c>
      <c r="B231" s="6" t="s">
        <v>395</v>
      </c>
      <c r="C231" s="6" t="s">
        <v>141</v>
      </c>
      <c r="D231" s="6" t="s">
        <v>142</v>
      </c>
      <c r="E231" s="7">
        <v>45723</v>
      </c>
      <c r="F231" s="8">
        <v>3000000</v>
      </c>
      <c r="G231" s="8">
        <v>0</v>
      </c>
      <c r="H231" s="6">
        <v>22</v>
      </c>
      <c r="I231" s="6" t="s">
        <v>396</v>
      </c>
      <c r="J231" s="6" t="s">
        <v>397</v>
      </c>
    </row>
    <row r="232" spans="1:10" s="6" customFormat="1" ht="230.4" x14ac:dyDescent="0.3">
      <c r="A232" s="6" t="str">
        <f>HYPERLINK("https://grants.gov/search-results-detail/357885","CMS-2V2-25-001")</f>
        <v>CMS-2V2-25-001</v>
      </c>
      <c r="B232" s="6" t="s">
        <v>467</v>
      </c>
      <c r="C232" s="6" t="s">
        <v>141</v>
      </c>
      <c r="D232" s="6" t="s">
        <v>142</v>
      </c>
      <c r="E232" s="7">
        <v>45723</v>
      </c>
      <c r="F232" s="8">
        <v>20000000</v>
      </c>
      <c r="G232" s="8">
        <v>5000000</v>
      </c>
      <c r="H232" s="6">
        <v>10</v>
      </c>
      <c r="I232" s="6" t="s">
        <v>468</v>
      </c>
      <c r="J232" s="6" t="s">
        <v>469</v>
      </c>
    </row>
    <row r="233" spans="1:10" s="6" customFormat="1" ht="115.2" x14ac:dyDescent="0.3">
      <c r="A233" s="6" t="str">
        <f>HYPERLINK("https://grants.gov/search-results-detail/355648","CMS-1W1-25-001")</f>
        <v>CMS-1W1-25-001</v>
      </c>
      <c r="B233" s="6" t="s">
        <v>140</v>
      </c>
      <c r="C233" s="6" t="s">
        <v>141</v>
      </c>
      <c r="D233" s="6" t="s">
        <v>142</v>
      </c>
      <c r="E233" s="7">
        <v>45748</v>
      </c>
      <c r="F233" s="8">
        <v>212500</v>
      </c>
      <c r="G233" s="8">
        <v>0</v>
      </c>
      <c r="H233" s="6">
        <v>6</v>
      </c>
      <c r="I233" s="6" t="s">
        <v>143</v>
      </c>
      <c r="J233" s="6" t="s">
        <v>144</v>
      </c>
    </row>
    <row r="234" spans="1:10" s="6" customFormat="1" ht="144" x14ac:dyDescent="0.3">
      <c r="A234" s="6" t="str">
        <f>HYPERLINK("https://grants.gov/search-results-detail/352224","RFA-FD-24-030")</f>
        <v>RFA-FD-24-030</v>
      </c>
      <c r="B234" s="6" t="s">
        <v>1400</v>
      </c>
      <c r="C234" s="6" t="s">
        <v>1401</v>
      </c>
      <c r="D234" s="6" t="s">
        <v>1402</v>
      </c>
      <c r="E234" s="7">
        <v>45790</v>
      </c>
      <c r="F234" s="8">
        <v>500000</v>
      </c>
      <c r="G234" s="8">
        <v>500000</v>
      </c>
      <c r="H234" s="6">
        <v>6</v>
      </c>
      <c r="I234" s="6" t="s">
        <v>1403</v>
      </c>
      <c r="J234" s="6" t="s">
        <v>1404</v>
      </c>
    </row>
    <row r="235" spans="1:10" s="6" customFormat="1" ht="187.2" x14ac:dyDescent="0.3">
      <c r="A235" s="6" t="str">
        <f>HYPERLINK("https://grants.gov/search-results-detail/354783","HRSA-25-053")</f>
        <v>HRSA-25-053</v>
      </c>
      <c r="B235" s="6" t="s">
        <v>860</v>
      </c>
      <c r="C235" s="6" t="s">
        <v>159</v>
      </c>
      <c r="D235" s="6" t="s">
        <v>160</v>
      </c>
      <c r="E235" s="7">
        <v>45706</v>
      </c>
      <c r="F235" s="8">
        <v>0</v>
      </c>
      <c r="G235" s="8">
        <v>0</v>
      </c>
      <c r="H235" s="6">
        <v>1</v>
      </c>
      <c r="I235" s="6" t="s">
        <v>861</v>
      </c>
      <c r="J235" s="6" t="s">
        <v>862</v>
      </c>
    </row>
    <row r="236" spans="1:10" s="6" customFormat="1" ht="230.4" x14ac:dyDescent="0.3">
      <c r="A236" s="6" t="str">
        <f>HYPERLINK("https://grants.gov/search-results-detail/355637","HRSA-25-026")</f>
        <v>HRSA-25-026</v>
      </c>
      <c r="B236" s="6" t="s">
        <v>1059</v>
      </c>
      <c r="C236" s="6" t="s">
        <v>159</v>
      </c>
      <c r="D236" s="6" t="s">
        <v>160</v>
      </c>
      <c r="E236" s="7">
        <v>45706</v>
      </c>
      <c r="F236" s="8">
        <v>340000</v>
      </c>
      <c r="G236" s="8">
        <v>0</v>
      </c>
      <c r="H236" s="6">
        <v>6</v>
      </c>
      <c r="I236" s="6" t="s">
        <v>1060</v>
      </c>
      <c r="J236" s="6" t="s">
        <v>1061</v>
      </c>
    </row>
    <row r="237" spans="1:10" s="6" customFormat="1" ht="374.4" x14ac:dyDescent="0.3">
      <c r="A237" s="6" t="str">
        <f>HYPERLINK("https://grants.gov/search-results-detail/355367","HRSA-25-037")</f>
        <v>HRSA-25-037</v>
      </c>
      <c r="B237" s="6" t="s">
        <v>764</v>
      </c>
      <c r="C237" s="6" t="s">
        <v>159</v>
      </c>
      <c r="D237" s="6" t="s">
        <v>160</v>
      </c>
      <c r="E237" s="7">
        <v>45707</v>
      </c>
      <c r="F237" s="8">
        <v>100000</v>
      </c>
      <c r="G237" s="8">
        <v>0</v>
      </c>
      <c r="H237" s="6">
        <v>35</v>
      </c>
      <c r="I237" s="6" t="s">
        <v>765</v>
      </c>
      <c r="J237" s="6" t="s">
        <v>766</v>
      </c>
    </row>
    <row r="238" spans="1:10" s="6" customFormat="1" ht="172.8" x14ac:dyDescent="0.3">
      <c r="A238" s="6" t="str">
        <f>HYPERLINK("https://grants.gov/search-results-detail/355780","HRSA-25-076")</f>
        <v>HRSA-25-076</v>
      </c>
      <c r="B238" s="6" t="s">
        <v>1050</v>
      </c>
      <c r="C238" s="6" t="s">
        <v>159</v>
      </c>
      <c r="D238" s="6" t="s">
        <v>160</v>
      </c>
      <c r="E238" s="7">
        <v>45707</v>
      </c>
      <c r="F238" s="8">
        <v>0</v>
      </c>
      <c r="G238" s="8">
        <v>0</v>
      </c>
      <c r="H238" s="6">
        <v>85</v>
      </c>
      <c r="I238" s="6" t="s">
        <v>1051</v>
      </c>
      <c r="J238" s="6" t="s">
        <v>1052</v>
      </c>
    </row>
    <row r="239" spans="1:10" s="6" customFormat="1" ht="288" x14ac:dyDescent="0.3">
      <c r="A239" s="6" t="str">
        <f>HYPERLINK("https://grants.gov/search-results-detail/355774","HRSA-25-070")</f>
        <v>HRSA-25-070</v>
      </c>
      <c r="B239" s="6" t="s">
        <v>1005</v>
      </c>
      <c r="C239" s="6" t="s">
        <v>159</v>
      </c>
      <c r="D239" s="6" t="s">
        <v>160</v>
      </c>
      <c r="E239" s="7">
        <v>45712</v>
      </c>
      <c r="F239" s="8">
        <v>0</v>
      </c>
      <c r="G239" s="8">
        <v>0</v>
      </c>
      <c r="H239" s="6">
        <v>80</v>
      </c>
      <c r="I239" s="6" t="s">
        <v>1006</v>
      </c>
      <c r="J239" s="6" t="s">
        <v>1007</v>
      </c>
    </row>
    <row r="240" spans="1:10" s="6" customFormat="1" ht="86.4" x14ac:dyDescent="0.3">
      <c r="A240" s="6" t="str">
        <f>HYPERLINK("https://grants.gov/search-results-detail/355634","HRSA-25-024")</f>
        <v>HRSA-25-024</v>
      </c>
      <c r="B240" s="6" t="s">
        <v>1008</v>
      </c>
      <c r="C240" s="6" t="s">
        <v>159</v>
      </c>
      <c r="D240" s="6" t="s">
        <v>160</v>
      </c>
      <c r="E240" s="7">
        <v>45713</v>
      </c>
      <c r="F240" s="8">
        <v>0</v>
      </c>
      <c r="G240" s="8">
        <v>0</v>
      </c>
      <c r="H240" s="6">
        <v>8</v>
      </c>
      <c r="I240" s="6" t="s">
        <v>1009</v>
      </c>
      <c r="J240" s="6" t="s">
        <v>1010</v>
      </c>
    </row>
    <row r="241" spans="1:10" s="6" customFormat="1" ht="86.4" x14ac:dyDescent="0.3">
      <c r="A241" s="6" t="str">
        <f>HYPERLINK("https://grants.gov/search-results-detail/355633","HRSA-25-023")</f>
        <v>HRSA-25-023</v>
      </c>
      <c r="B241" s="6" t="s">
        <v>1011</v>
      </c>
      <c r="C241" s="6" t="s">
        <v>159</v>
      </c>
      <c r="D241" s="6" t="s">
        <v>160</v>
      </c>
      <c r="E241" s="7">
        <v>45713</v>
      </c>
      <c r="F241" s="8">
        <v>60000</v>
      </c>
      <c r="G241" s="8">
        <v>0</v>
      </c>
      <c r="H241" s="6">
        <v>10</v>
      </c>
      <c r="I241" s="6" t="s">
        <v>1012</v>
      </c>
      <c r="J241" s="6" t="s">
        <v>1013</v>
      </c>
    </row>
    <row r="242" spans="1:10" s="6" customFormat="1" ht="259.2" x14ac:dyDescent="0.3">
      <c r="A242" s="6" t="str">
        <f>HYPERLINK("https://grants.gov/search-results-detail/355773","HRSA-25-069")</f>
        <v>HRSA-25-069</v>
      </c>
      <c r="B242" s="6" t="s">
        <v>689</v>
      </c>
      <c r="C242" s="6" t="s">
        <v>159</v>
      </c>
      <c r="D242" s="6" t="s">
        <v>160</v>
      </c>
      <c r="E242" s="7">
        <v>45716</v>
      </c>
      <c r="F242" s="8">
        <v>0</v>
      </c>
      <c r="G242" s="8">
        <v>0</v>
      </c>
      <c r="H242" s="6">
        <v>28</v>
      </c>
      <c r="I242" s="6" t="s">
        <v>690</v>
      </c>
      <c r="J242" s="6" t="s">
        <v>691</v>
      </c>
    </row>
    <row r="243" spans="1:10" s="6" customFormat="1" ht="201.6" x14ac:dyDescent="0.3">
      <c r="A243" s="6" t="str">
        <f>HYPERLINK("https://grants.gov/search-results-detail/355782","HRSA-25-080")</f>
        <v>HRSA-25-080</v>
      </c>
      <c r="B243" s="6" t="s">
        <v>970</v>
      </c>
      <c r="C243" s="6" t="s">
        <v>159</v>
      </c>
      <c r="D243" s="6" t="s">
        <v>160</v>
      </c>
      <c r="E243" s="7">
        <v>45719</v>
      </c>
      <c r="F243" s="8">
        <v>0</v>
      </c>
      <c r="G243" s="8">
        <v>0</v>
      </c>
      <c r="H243" s="6">
        <v>1</v>
      </c>
      <c r="I243" s="6" t="s">
        <v>971</v>
      </c>
      <c r="J243" s="6" t="s">
        <v>972</v>
      </c>
    </row>
    <row r="244" spans="1:10" s="6" customFormat="1" ht="172.8" x14ac:dyDescent="0.3">
      <c r="A244" s="6" t="str">
        <f>HYPERLINK("https://grants.gov/search-results-detail/355360","HRSA-25-010")</f>
        <v>HRSA-25-010</v>
      </c>
      <c r="B244" s="6" t="s">
        <v>686</v>
      </c>
      <c r="C244" s="6" t="s">
        <v>159</v>
      </c>
      <c r="D244" s="6" t="s">
        <v>160</v>
      </c>
      <c r="E244" s="7">
        <v>45726</v>
      </c>
      <c r="F244" s="8">
        <v>300000</v>
      </c>
      <c r="G244" s="8">
        <v>0</v>
      </c>
      <c r="H244" s="6">
        <v>20</v>
      </c>
      <c r="I244" s="6" t="s">
        <v>687</v>
      </c>
      <c r="J244" s="6" t="s">
        <v>688</v>
      </c>
    </row>
    <row r="245" spans="1:10" s="6" customFormat="1" ht="409.6" x14ac:dyDescent="0.3">
      <c r="A245" s="6" t="str">
        <f>HYPERLINK("https://grants.gov/search-results-detail/354784","HRSA-25-055")</f>
        <v>HRSA-25-055</v>
      </c>
      <c r="B245" s="6" t="s">
        <v>479</v>
      </c>
      <c r="C245" s="6" t="s">
        <v>159</v>
      </c>
      <c r="D245" s="6" t="s">
        <v>160</v>
      </c>
      <c r="E245" s="7">
        <v>45727</v>
      </c>
      <c r="F245" s="8">
        <v>0</v>
      </c>
      <c r="G245" s="8">
        <v>0</v>
      </c>
      <c r="H245" s="6">
        <v>1</v>
      </c>
      <c r="I245" s="6" t="s">
        <v>480</v>
      </c>
      <c r="J245" s="6" t="s">
        <v>481</v>
      </c>
    </row>
    <row r="246" spans="1:10" s="6" customFormat="1" ht="409.6" x14ac:dyDescent="0.3">
      <c r="A246" s="6" t="str">
        <f>HYPERLINK("https://grants.gov/search-results-detail/354786","HRSA-25-057")</f>
        <v>HRSA-25-057</v>
      </c>
      <c r="B246" s="6" t="s">
        <v>479</v>
      </c>
      <c r="C246" s="6" t="s">
        <v>159</v>
      </c>
      <c r="D246" s="6" t="s">
        <v>160</v>
      </c>
      <c r="E246" s="7">
        <v>45727</v>
      </c>
      <c r="F246" s="8">
        <v>0</v>
      </c>
      <c r="G246" s="8">
        <v>0</v>
      </c>
      <c r="H246" s="6">
        <v>1</v>
      </c>
      <c r="I246" s="6" t="s">
        <v>482</v>
      </c>
      <c r="J246" s="6" t="s">
        <v>483</v>
      </c>
    </row>
    <row r="247" spans="1:10" s="6" customFormat="1" ht="409.6" x14ac:dyDescent="0.3">
      <c r="A247" s="6" t="str">
        <f>HYPERLINK("https://grants.gov/search-results-detail/354785","HRSA-25-056")</f>
        <v>HRSA-25-056</v>
      </c>
      <c r="B247" s="6" t="s">
        <v>484</v>
      </c>
      <c r="C247" s="6" t="s">
        <v>159</v>
      </c>
      <c r="D247" s="6" t="s">
        <v>160</v>
      </c>
      <c r="E247" s="7">
        <v>45727</v>
      </c>
      <c r="F247" s="8">
        <v>0</v>
      </c>
      <c r="G247" s="8">
        <v>0</v>
      </c>
      <c r="H247" s="6">
        <v>10</v>
      </c>
      <c r="I247" s="6" t="s">
        <v>485</v>
      </c>
      <c r="J247" s="6" t="s">
        <v>486</v>
      </c>
    </row>
    <row r="248" spans="1:10" s="6" customFormat="1" ht="158.4" x14ac:dyDescent="0.3">
      <c r="A248" s="6" t="str">
        <f>HYPERLINK("https://grants.gov/search-results-detail/355629","HRSA-25-019")</f>
        <v>HRSA-25-019</v>
      </c>
      <c r="B248" s="6" t="s">
        <v>794</v>
      </c>
      <c r="C248" s="6" t="s">
        <v>159</v>
      </c>
      <c r="D248" s="6" t="s">
        <v>160</v>
      </c>
      <c r="E248" s="7">
        <v>45733</v>
      </c>
      <c r="F248" s="8">
        <v>75000</v>
      </c>
      <c r="G248" s="8">
        <v>0</v>
      </c>
      <c r="H248" s="6">
        <v>6</v>
      </c>
      <c r="I248" s="6" t="s">
        <v>795</v>
      </c>
      <c r="J248" s="6" t="s">
        <v>796</v>
      </c>
    </row>
    <row r="249" spans="1:10" s="6" customFormat="1" ht="360" x14ac:dyDescent="0.3">
      <c r="A249" s="6" t="str">
        <f>HYPERLINK("https://grants.gov/search-results-detail/355375","HRSA-25-008")</f>
        <v>HRSA-25-008</v>
      </c>
      <c r="B249" s="6" t="s">
        <v>163</v>
      </c>
      <c r="C249" s="6" t="s">
        <v>159</v>
      </c>
      <c r="D249" s="6" t="s">
        <v>160</v>
      </c>
      <c r="E249" s="7">
        <v>45734</v>
      </c>
      <c r="F249" s="8">
        <v>1250000</v>
      </c>
      <c r="G249" s="8">
        <v>0</v>
      </c>
      <c r="H249" s="6">
        <v>1</v>
      </c>
      <c r="I249" s="6" t="s">
        <v>164</v>
      </c>
      <c r="J249" s="6" t="s">
        <v>165</v>
      </c>
    </row>
    <row r="250" spans="1:10" s="6" customFormat="1" ht="172.8" x14ac:dyDescent="0.3">
      <c r="A250" s="6" t="str">
        <f>HYPERLINK("https://grants.gov/search-results-detail/355363","HRSA-25-033")</f>
        <v>HRSA-25-033</v>
      </c>
      <c r="B250" s="6" t="s">
        <v>187</v>
      </c>
      <c r="C250" s="6" t="s">
        <v>159</v>
      </c>
      <c r="D250" s="6" t="s">
        <v>160</v>
      </c>
      <c r="E250" s="7">
        <v>45734</v>
      </c>
      <c r="F250" s="8">
        <v>10000000</v>
      </c>
      <c r="G250" s="8">
        <v>0</v>
      </c>
      <c r="H250" s="6">
        <v>1</v>
      </c>
      <c r="I250" s="6" t="s">
        <v>188</v>
      </c>
      <c r="J250" s="6" t="s">
        <v>189</v>
      </c>
    </row>
    <row r="251" spans="1:10" s="6" customFormat="1" ht="388.8" x14ac:dyDescent="0.3">
      <c r="A251" s="6" t="str">
        <f>HYPERLINK("https://grants.gov/search-results-detail/354787","HRSA-25-058")</f>
        <v>HRSA-25-058</v>
      </c>
      <c r="B251" s="6" t="s">
        <v>273</v>
      </c>
      <c r="C251" s="6" t="s">
        <v>159</v>
      </c>
      <c r="D251" s="6" t="s">
        <v>160</v>
      </c>
      <c r="E251" s="7">
        <v>45734</v>
      </c>
      <c r="F251" s="8">
        <v>0</v>
      </c>
      <c r="G251" s="8">
        <v>0</v>
      </c>
      <c r="H251" s="6">
        <v>1</v>
      </c>
      <c r="I251" s="6" t="s">
        <v>274</v>
      </c>
      <c r="J251" s="6" t="s">
        <v>275</v>
      </c>
    </row>
    <row r="252" spans="1:10" s="6" customFormat="1" ht="409.6" x14ac:dyDescent="0.3">
      <c r="A252" s="6" t="str">
        <f>HYPERLINK("https://grants.gov/search-results-detail/354788","HRSA-25-059")</f>
        <v>HRSA-25-059</v>
      </c>
      <c r="B252" s="6" t="s">
        <v>276</v>
      </c>
      <c r="C252" s="6" t="s">
        <v>159</v>
      </c>
      <c r="D252" s="6" t="s">
        <v>160</v>
      </c>
      <c r="E252" s="7">
        <v>45734</v>
      </c>
      <c r="F252" s="8">
        <v>0</v>
      </c>
      <c r="G252" s="8">
        <v>0</v>
      </c>
      <c r="H252" s="6">
        <v>1</v>
      </c>
      <c r="I252" s="6" t="s">
        <v>277</v>
      </c>
      <c r="J252" s="6" t="s">
        <v>278</v>
      </c>
    </row>
    <row r="253" spans="1:10" s="6" customFormat="1" ht="374.4" x14ac:dyDescent="0.3">
      <c r="A253" s="6" t="str">
        <f>HYPERLINK("https://grants.gov/search-results-detail/354789","HRSA-25-060")</f>
        <v>HRSA-25-060</v>
      </c>
      <c r="B253" s="6" t="s">
        <v>279</v>
      </c>
      <c r="C253" s="6" t="s">
        <v>159</v>
      </c>
      <c r="D253" s="6" t="s">
        <v>160</v>
      </c>
      <c r="E253" s="7">
        <v>45734</v>
      </c>
      <c r="F253" s="8">
        <v>0</v>
      </c>
      <c r="G253" s="8">
        <v>0</v>
      </c>
      <c r="H253" s="6">
        <v>1</v>
      </c>
      <c r="I253" s="6" t="s">
        <v>280</v>
      </c>
      <c r="J253" s="6" t="s">
        <v>281</v>
      </c>
    </row>
    <row r="254" spans="1:10" s="6" customFormat="1" ht="172.8" x14ac:dyDescent="0.3">
      <c r="A254" s="6" t="str">
        <f>HYPERLINK("https://grants.gov/search-results-detail/354779","HRSA-25-049")</f>
        <v>HRSA-25-049</v>
      </c>
      <c r="B254" s="6" t="s">
        <v>282</v>
      </c>
      <c r="C254" s="6" t="s">
        <v>159</v>
      </c>
      <c r="D254" s="6" t="s">
        <v>160</v>
      </c>
      <c r="E254" s="7">
        <v>45734</v>
      </c>
      <c r="F254" s="8">
        <v>0</v>
      </c>
      <c r="G254" s="8">
        <v>0</v>
      </c>
      <c r="H254" s="6">
        <v>60</v>
      </c>
      <c r="I254" s="6" t="s">
        <v>283</v>
      </c>
      <c r="J254" s="6" t="s">
        <v>284</v>
      </c>
    </row>
    <row r="255" spans="1:10" s="6" customFormat="1" ht="388.8" x14ac:dyDescent="0.3">
      <c r="A255" s="6" t="str">
        <f>HYPERLINK("https://grants.gov/search-results-detail/355770","HRSA-25-066")</f>
        <v>HRSA-25-066</v>
      </c>
      <c r="B255" s="6" t="s">
        <v>327</v>
      </c>
      <c r="C255" s="6" t="s">
        <v>159</v>
      </c>
      <c r="D255" s="6" t="s">
        <v>160</v>
      </c>
      <c r="E255" s="7">
        <v>45734</v>
      </c>
      <c r="F255" s="8">
        <v>0</v>
      </c>
      <c r="G255" s="8">
        <v>0</v>
      </c>
      <c r="H255" s="6">
        <v>29</v>
      </c>
      <c r="I255" s="6" t="s">
        <v>328</v>
      </c>
      <c r="J255" s="6" t="s">
        <v>329</v>
      </c>
    </row>
    <row r="256" spans="1:10" s="6" customFormat="1" ht="129.6" x14ac:dyDescent="0.3">
      <c r="A256" s="6" t="str">
        <f>HYPERLINK("https://grants.gov/search-results-detail/354781","HRSA-25-051")</f>
        <v>HRSA-25-051</v>
      </c>
      <c r="B256" s="6" t="s">
        <v>333</v>
      </c>
      <c r="C256" s="6" t="s">
        <v>159</v>
      </c>
      <c r="D256" s="6" t="s">
        <v>160</v>
      </c>
      <c r="E256" s="7">
        <v>45734</v>
      </c>
      <c r="F256" s="8">
        <v>0</v>
      </c>
      <c r="G256" s="8">
        <v>0</v>
      </c>
      <c r="H256" s="6">
        <v>50</v>
      </c>
      <c r="I256" s="6" t="s">
        <v>334</v>
      </c>
      <c r="J256" s="6" t="s">
        <v>335</v>
      </c>
    </row>
    <row r="257" spans="1:10" s="6" customFormat="1" ht="172.8" x14ac:dyDescent="0.3">
      <c r="A257" s="6" t="str">
        <f>HYPERLINK("https://grants.gov/search-results-detail/354791","HRSA-25-062")</f>
        <v>HRSA-25-062</v>
      </c>
      <c r="B257" s="6" t="s">
        <v>336</v>
      </c>
      <c r="C257" s="6" t="s">
        <v>159</v>
      </c>
      <c r="D257" s="6" t="s">
        <v>160</v>
      </c>
      <c r="E257" s="7">
        <v>45734</v>
      </c>
      <c r="F257" s="8">
        <v>0</v>
      </c>
      <c r="G257" s="8">
        <v>0</v>
      </c>
      <c r="H257" s="6">
        <v>1</v>
      </c>
      <c r="I257" s="6" t="s">
        <v>337</v>
      </c>
      <c r="J257" s="6" t="s">
        <v>338</v>
      </c>
    </row>
    <row r="258" spans="1:10" s="6" customFormat="1" ht="409.6" x14ac:dyDescent="0.3">
      <c r="A258" s="6" t="str">
        <f>HYPERLINK("https://grants.gov/search-results-detail/354778","HRSA-25-048")</f>
        <v>HRSA-25-048</v>
      </c>
      <c r="B258" s="6" t="s">
        <v>387</v>
      </c>
      <c r="C258" s="6" t="s">
        <v>159</v>
      </c>
      <c r="D258" s="6" t="s">
        <v>160</v>
      </c>
      <c r="E258" s="7">
        <v>45734</v>
      </c>
      <c r="F258" s="8">
        <v>0</v>
      </c>
      <c r="G258" s="8">
        <v>0</v>
      </c>
      <c r="H258" s="6">
        <v>30</v>
      </c>
      <c r="I258" s="6" t="s">
        <v>388</v>
      </c>
      <c r="J258" s="6" t="s">
        <v>389</v>
      </c>
    </row>
    <row r="259" spans="1:10" s="6" customFormat="1" ht="172.8" x14ac:dyDescent="0.3">
      <c r="A259" s="6" t="str">
        <f>HYPERLINK("https://grants.gov/search-results-detail/355776","HRSA-25-071")</f>
        <v>HRSA-25-071</v>
      </c>
      <c r="B259" s="6" t="s">
        <v>714</v>
      </c>
      <c r="C259" s="6" t="s">
        <v>159</v>
      </c>
      <c r="D259" s="6" t="s">
        <v>160</v>
      </c>
      <c r="E259" s="7">
        <v>45734</v>
      </c>
      <c r="F259" s="8">
        <v>0</v>
      </c>
      <c r="G259" s="8">
        <v>0</v>
      </c>
      <c r="H259" s="6">
        <v>40</v>
      </c>
      <c r="I259" s="6" t="s">
        <v>715</v>
      </c>
      <c r="J259" s="6" t="s">
        <v>716</v>
      </c>
    </row>
    <row r="260" spans="1:10" s="6" customFormat="1" ht="244.8" x14ac:dyDescent="0.3">
      <c r="A260" s="6" t="str">
        <f>HYPERLINK("https://grants.gov/search-results-detail/355779","HRSA-25-075")</f>
        <v>HRSA-25-075</v>
      </c>
      <c r="B260" s="6" t="s">
        <v>717</v>
      </c>
      <c r="C260" s="6" t="s">
        <v>159</v>
      </c>
      <c r="D260" s="6" t="s">
        <v>160</v>
      </c>
      <c r="E260" s="7">
        <v>45734</v>
      </c>
      <c r="F260" s="8">
        <v>450000</v>
      </c>
      <c r="G260" s="8">
        <v>0</v>
      </c>
      <c r="H260" s="6">
        <v>27</v>
      </c>
      <c r="I260" s="6" t="s">
        <v>718</v>
      </c>
      <c r="J260" s="6" t="s">
        <v>719</v>
      </c>
    </row>
    <row r="261" spans="1:10" s="6" customFormat="1" ht="331.2" x14ac:dyDescent="0.3">
      <c r="A261" s="6" t="str">
        <f>HYPERLINK("https://grants.gov/search-results-detail/357868","HRSA-25-032")</f>
        <v>HRSA-25-032</v>
      </c>
      <c r="B261" s="6" t="s">
        <v>683</v>
      </c>
      <c r="C261" s="6" t="s">
        <v>159</v>
      </c>
      <c r="D261" s="6" t="s">
        <v>160</v>
      </c>
      <c r="E261" s="7">
        <v>45736</v>
      </c>
      <c r="F261" s="8">
        <v>400000</v>
      </c>
      <c r="G261" s="8">
        <v>0</v>
      </c>
      <c r="H261" s="6">
        <v>5</v>
      </c>
      <c r="I261" s="6" t="s">
        <v>684</v>
      </c>
      <c r="J261" s="6" t="s">
        <v>685</v>
      </c>
    </row>
    <row r="262" spans="1:10" s="6" customFormat="1" ht="201.6" x14ac:dyDescent="0.3">
      <c r="A262" s="6" t="str">
        <f>HYPERLINK("https://grants.gov/search-results-detail/355781","HRSA-25-078")</f>
        <v>HRSA-25-078</v>
      </c>
      <c r="B262" s="6" t="s">
        <v>692</v>
      </c>
      <c r="C262" s="6" t="s">
        <v>159</v>
      </c>
      <c r="D262" s="6" t="s">
        <v>160</v>
      </c>
      <c r="E262" s="7">
        <v>45736</v>
      </c>
      <c r="F262" s="8">
        <v>0</v>
      </c>
      <c r="G262" s="8">
        <v>0</v>
      </c>
      <c r="H262" s="6">
        <v>19</v>
      </c>
      <c r="I262" s="6" t="s">
        <v>693</v>
      </c>
      <c r="J262" s="6" t="s">
        <v>694</v>
      </c>
    </row>
    <row r="263" spans="1:10" s="6" customFormat="1" ht="409.6" x14ac:dyDescent="0.3">
      <c r="A263" s="6" t="str">
        <f>HYPERLINK("https://grants.gov/search-results-detail/355357","HRSA-25-007")</f>
        <v>HRSA-25-007</v>
      </c>
      <c r="B263" s="6" t="s">
        <v>449</v>
      </c>
      <c r="C263" s="6" t="s">
        <v>159</v>
      </c>
      <c r="D263" s="6" t="s">
        <v>160</v>
      </c>
      <c r="E263" s="7">
        <v>45757</v>
      </c>
      <c r="F263" s="8">
        <v>750000</v>
      </c>
      <c r="G263" s="8">
        <v>0</v>
      </c>
      <c r="H263" s="6">
        <v>15</v>
      </c>
      <c r="I263" s="6" t="s">
        <v>450</v>
      </c>
      <c r="J263" s="6" t="s">
        <v>451</v>
      </c>
    </row>
    <row r="264" spans="1:10" s="6" customFormat="1" ht="172.8" x14ac:dyDescent="0.3">
      <c r="A264" s="6" t="str">
        <f>HYPERLINK("https://grants.gov/search-results-detail/358145","HRSA-25-011")</f>
        <v>HRSA-25-011</v>
      </c>
      <c r="B264" s="6" t="s">
        <v>452</v>
      </c>
      <c r="C264" s="6" t="s">
        <v>159</v>
      </c>
      <c r="D264" s="6" t="s">
        <v>160</v>
      </c>
      <c r="E264" s="7">
        <v>45758</v>
      </c>
      <c r="F264" s="8">
        <v>400000</v>
      </c>
      <c r="G264" s="8">
        <v>0</v>
      </c>
      <c r="H264" s="6">
        <v>8</v>
      </c>
      <c r="I264" s="6" t="s">
        <v>453</v>
      </c>
      <c r="J264" s="6" t="s">
        <v>454</v>
      </c>
    </row>
    <row r="265" spans="1:10" s="6" customFormat="1" ht="172.8" x14ac:dyDescent="0.3">
      <c r="A265" s="6" t="str">
        <f>HYPERLINK("https://grants.gov/search-results-detail/355858","HRSA-25-043")</f>
        <v>HRSA-25-043</v>
      </c>
      <c r="B265" s="6" t="s">
        <v>410</v>
      </c>
      <c r="C265" s="6" t="s">
        <v>159</v>
      </c>
      <c r="D265" s="6" t="s">
        <v>160</v>
      </c>
      <c r="E265" s="7">
        <v>45761</v>
      </c>
      <c r="F265" s="8">
        <v>0</v>
      </c>
      <c r="G265" s="8">
        <v>0</v>
      </c>
      <c r="H265" s="6">
        <v>2</v>
      </c>
      <c r="I265" s="6" t="s">
        <v>188</v>
      </c>
      <c r="J265" s="6" t="s">
        <v>411</v>
      </c>
    </row>
    <row r="266" spans="1:10" s="6" customFormat="1" ht="158.4" x14ac:dyDescent="0.3">
      <c r="A266" s="6" t="str">
        <f>HYPERLINK("https://grants.gov/search-results-detail/355857","HRSA-25-042")</f>
        <v>HRSA-25-042</v>
      </c>
      <c r="B266" s="6" t="s">
        <v>412</v>
      </c>
      <c r="C266" s="6" t="s">
        <v>159</v>
      </c>
      <c r="D266" s="6" t="s">
        <v>160</v>
      </c>
      <c r="E266" s="7">
        <v>45761</v>
      </c>
      <c r="F266" s="8">
        <v>0</v>
      </c>
      <c r="G266" s="8">
        <v>0</v>
      </c>
      <c r="H266" s="6">
        <v>12</v>
      </c>
      <c r="I266" s="6" t="s">
        <v>413</v>
      </c>
      <c r="J266" s="6" t="s">
        <v>414</v>
      </c>
    </row>
    <row r="267" spans="1:10" s="6" customFormat="1" ht="409.6" x14ac:dyDescent="0.3">
      <c r="A267" s="6" t="str">
        <f>HYPERLINK("https://grants.gov/search-results-detail/355365","HRSA-25-035")</f>
        <v>HRSA-25-035</v>
      </c>
      <c r="B267" s="6" t="s">
        <v>415</v>
      </c>
      <c r="C267" s="6" t="s">
        <v>159</v>
      </c>
      <c r="D267" s="6" t="s">
        <v>160</v>
      </c>
      <c r="E267" s="7">
        <v>45761</v>
      </c>
      <c r="F267" s="8">
        <v>800000</v>
      </c>
      <c r="G267" s="8">
        <v>0</v>
      </c>
      <c r="H267" s="6">
        <v>1</v>
      </c>
      <c r="I267" s="6" t="s">
        <v>416</v>
      </c>
      <c r="J267" s="6" t="s">
        <v>417</v>
      </c>
    </row>
    <row r="268" spans="1:10" s="6" customFormat="1" ht="201.6" x14ac:dyDescent="0.3">
      <c r="A268" s="6" t="str">
        <f>HYPERLINK("https://grants.gov/search-results-detail/358167","HRSA-25-093")</f>
        <v>HRSA-25-093</v>
      </c>
      <c r="B268" s="6" t="s">
        <v>418</v>
      </c>
      <c r="C268" s="6" t="s">
        <v>159</v>
      </c>
      <c r="D268" s="6" t="s">
        <v>160</v>
      </c>
      <c r="E268" s="7">
        <v>45761</v>
      </c>
      <c r="F268" s="8">
        <v>400000</v>
      </c>
      <c r="G268" s="8">
        <v>0</v>
      </c>
      <c r="H268" s="6">
        <v>12</v>
      </c>
      <c r="I268" s="6" t="s">
        <v>419</v>
      </c>
      <c r="J268" s="6" t="s">
        <v>420</v>
      </c>
    </row>
    <row r="269" spans="1:10" s="6" customFormat="1" ht="403.2" x14ac:dyDescent="0.3">
      <c r="A269" s="6" t="str">
        <f>HYPERLINK("https://grants.gov/search-results-detail/355860","HRSA-25-045")</f>
        <v>HRSA-25-045</v>
      </c>
      <c r="B269" s="6" t="s">
        <v>381</v>
      </c>
      <c r="C269" s="6" t="s">
        <v>159</v>
      </c>
      <c r="D269" s="6" t="s">
        <v>160</v>
      </c>
      <c r="E269" s="7">
        <v>45762</v>
      </c>
      <c r="F269" s="8">
        <v>950000</v>
      </c>
      <c r="G269" s="8">
        <v>0</v>
      </c>
      <c r="H269" s="6">
        <v>1</v>
      </c>
      <c r="I269" s="6" t="s">
        <v>382</v>
      </c>
      <c r="J269" s="6" t="s">
        <v>383</v>
      </c>
    </row>
    <row r="270" spans="1:10" s="6" customFormat="1" ht="409.6" x14ac:dyDescent="0.3">
      <c r="A270" s="6" t="str">
        <f>HYPERLINK("https://grants.gov/search-results-detail/355859","HRSA-25-044")</f>
        <v>HRSA-25-044</v>
      </c>
      <c r="B270" s="6" t="s">
        <v>384</v>
      </c>
      <c r="C270" s="6" t="s">
        <v>159</v>
      </c>
      <c r="D270" s="6" t="s">
        <v>160</v>
      </c>
      <c r="E270" s="7">
        <v>45762</v>
      </c>
      <c r="F270" s="8">
        <v>950000</v>
      </c>
      <c r="G270" s="8">
        <v>0</v>
      </c>
      <c r="H270" s="6">
        <v>1</v>
      </c>
      <c r="I270" s="6" t="s">
        <v>385</v>
      </c>
      <c r="J270" s="6" t="s">
        <v>386</v>
      </c>
    </row>
    <row r="271" spans="1:10" s="6" customFormat="1" ht="216" x14ac:dyDescent="0.3">
      <c r="A271" s="6" t="str">
        <f>HYPERLINK("https://grants.gov/search-results-detail/358301","HRSA-25-101")</f>
        <v>HRSA-25-101</v>
      </c>
      <c r="B271" s="6" t="s">
        <v>169</v>
      </c>
      <c r="C271" s="6" t="s">
        <v>159</v>
      </c>
      <c r="D271" s="6" t="s">
        <v>160</v>
      </c>
      <c r="E271" s="7">
        <v>45764</v>
      </c>
      <c r="F271" s="8">
        <v>500000</v>
      </c>
      <c r="G271" s="8">
        <v>0</v>
      </c>
      <c r="H271" s="6">
        <v>4</v>
      </c>
      <c r="I271" s="6" t="s">
        <v>170</v>
      </c>
      <c r="J271" s="6" t="s">
        <v>171</v>
      </c>
    </row>
    <row r="272" spans="1:10" s="6" customFormat="1" ht="409.6" x14ac:dyDescent="0.3">
      <c r="A272" s="6" t="str">
        <f>HYPERLINK("https://grants.gov/search-results-detail/355748","HRSA-25-083")</f>
        <v>HRSA-25-083</v>
      </c>
      <c r="B272" s="6" t="s">
        <v>172</v>
      </c>
      <c r="C272" s="6" t="s">
        <v>159</v>
      </c>
      <c r="D272" s="6" t="s">
        <v>160</v>
      </c>
      <c r="E272" s="7">
        <v>45765</v>
      </c>
      <c r="F272" s="8">
        <v>500000</v>
      </c>
      <c r="G272" s="8">
        <v>0</v>
      </c>
      <c r="H272" s="6">
        <v>1</v>
      </c>
      <c r="I272" s="6" t="s">
        <v>173</v>
      </c>
      <c r="J272" s="6" t="s">
        <v>174</v>
      </c>
    </row>
    <row r="273" spans="1:10" s="6" customFormat="1" ht="201.6" x14ac:dyDescent="0.3">
      <c r="A273" s="6" t="str">
        <f>HYPERLINK("https://grants.gov/search-results-detail/355747","HRSA-25-082")</f>
        <v>HRSA-25-082</v>
      </c>
      <c r="B273" s="6" t="s">
        <v>175</v>
      </c>
      <c r="C273" s="6" t="s">
        <v>159</v>
      </c>
      <c r="D273" s="6" t="s">
        <v>160</v>
      </c>
      <c r="E273" s="7">
        <v>45765</v>
      </c>
      <c r="F273" s="8">
        <v>7500000</v>
      </c>
      <c r="G273" s="8">
        <v>0</v>
      </c>
      <c r="H273" s="6">
        <v>1</v>
      </c>
      <c r="I273" s="6" t="s">
        <v>176</v>
      </c>
      <c r="J273" s="6" t="s">
        <v>177</v>
      </c>
    </row>
    <row r="274" spans="1:10" s="6" customFormat="1" ht="409.6" x14ac:dyDescent="0.3">
      <c r="A274" s="6" t="str">
        <f>HYPERLINK("https://grants.gov/search-results-detail/358299","HRSA-25-097")</f>
        <v>HRSA-25-097</v>
      </c>
      <c r="B274" s="6" t="s">
        <v>178</v>
      </c>
      <c r="C274" s="6" t="s">
        <v>159</v>
      </c>
      <c r="D274" s="6" t="s">
        <v>160</v>
      </c>
      <c r="E274" s="7">
        <v>45769</v>
      </c>
      <c r="F274" s="8">
        <v>265188</v>
      </c>
      <c r="G274" s="8">
        <v>0</v>
      </c>
      <c r="H274" s="6">
        <v>1</v>
      </c>
      <c r="I274" s="6" t="s">
        <v>179</v>
      </c>
      <c r="J274" s="6" t="s">
        <v>180</v>
      </c>
    </row>
    <row r="275" spans="1:10" s="6" customFormat="1" ht="201.6" x14ac:dyDescent="0.3">
      <c r="A275" s="6" t="str">
        <f>HYPERLINK("https://grants.gov/search-results-detail/355371","HRSA-25-041")</f>
        <v>HRSA-25-041</v>
      </c>
      <c r="B275" s="6" t="s">
        <v>181</v>
      </c>
      <c r="C275" s="6" t="s">
        <v>159</v>
      </c>
      <c r="D275" s="6" t="s">
        <v>160</v>
      </c>
      <c r="E275" s="7">
        <v>45769</v>
      </c>
      <c r="F275" s="8">
        <v>1000000</v>
      </c>
      <c r="G275" s="8">
        <v>0</v>
      </c>
      <c r="H275" s="6">
        <v>3</v>
      </c>
      <c r="I275" s="6" t="s">
        <v>182</v>
      </c>
      <c r="J275" s="6" t="s">
        <v>183</v>
      </c>
    </row>
    <row r="276" spans="1:10" s="6" customFormat="1" ht="201.6" x14ac:dyDescent="0.3">
      <c r="A276" s="6" t="str">
        <f>HYPERLINK("https://grants.gov/search-results-detail/355630","HRSA-25-020")</f>
        <v>HRSA-25-020</v>
      </c>
      <c r="B276" s="6" t="s">
        <v>158</v>
      </c>
      <c r="C276" s="6" t="s">
        <v>159</v>
      </c>
      <c r="D276" s="6" t="s">
        <v>160</v>
      </c>
      <c r="E276" s="7">
        <v>45770</v>
      </c>
      <c r="F276" s="8">
        <v>0</v>
      </c>
      <c r="G276" s="8">
        <v>0</v>
      </c>
      <c r="H276" s="6">
        <v>3</v>
      </c>
      <c r="I276" s="6" t="s">
        <v>161</v>
      </c>
      <c r="J276" s="6" t="s">
        <v>162</v>
      </c>
    </row>
    <row r="277" spans="1:10" s="6" customFormat="1" ht="409.6" x14ac:dyDescent="0.3">
      <c r="A277" s="6" t="str">
        <f>HYPERLINK("https://grants.gov/search-results-detail/355631","HRSA-25-021")</f>
        <v>HRSA-25-021</v>
      </c>
      <c r="B277" s="6" t="s">
        <v>184</v>
      </c>
      <c r="C277" s="6" t="s">
        <v>159</v>
      </c>
      <c r="D277" s="6" t="s">
        <v>160</v>
      </c>
      <c r="E277" s="7">
        <v>45770</v>
      </c>
      <c r="F277" s="8">
        <v>1000000</v>
      </c>
      <c r="G277" s="8">
        <v>0</v>
      </c>
      <c r="H277" s="6">
        <v>5</v>
      </c>
      <c r="I277" s="6" t="s">
        <v>185</v>
      </c>
      <c r="J277" s="6" t="s">
        <v>186</v>
      </c>
    </row>
    <row r="278" spans="1:10" s="6" customFormat="1" ht="216" x14ac:dyDescent="0.3">
      <c r="A278" s="6" t="str">
        <f>HYPERLINK("https://grants.gov/search-results-detail/356222","HHS-2025-IHS-TSGP-0001")</f>
        <v>HHS-2025-IHS-TSGP-0001</v>
      </c>
      <c r="B278" s="6" t="s">
        <v>740</v>
      </c>
      <c r="C278" s="6" t="s">
        <v>741</v>
      </c>
      <c r="D278" s="6" t="s">
        <v>742</v>
      </c>
      <c r="E278" s="7">
        <v>45707</v>
      </c>
      <c r="F278" s="8">
        <v>180000</v>
      </c>
      <c r="G278" s="8">
        <v>180000</v>
      </c>
      <c r="H278" s="6">
        <v>3</v>
      </c>
      <c r="I278" s="6" t="s">
        <v>743</v>
      </c>
      <c r="J278" s="6" t="s">
        <v>744</v>
      </c>
    </row>
    <row r="279" spans="1:10" s="6" customFormat="1" ht="409.6" x14ac:dyDescent="0.3">
      <c r="A279" s="6" t="str">
        <f>HYPERLINK("https://grants.gov/search-results-detail/356221","HHS-2025-IHS-TSGN-0001")</f>
        <v>HHS-2025-IHS-TSGN-0001</v>
      </c>
      <c r="B279" s="6" t="s">
        <v>745</v>
      </c>
      <c r="C279" s="6" t="s">
        <v>741</v>
      </c>
      <c r="D279" s="6" t="s">
        <v>742</v>
      </c>
      <c r="E279" s="7">
        <v>45707</v>
      </c>
      <c r="F279" s="8">
        <v>84000</v>
      </c>
      <c r="G279" s="8">
        <v>84000</v>
      </c>
      <c r="H279" s="6">
        <v>3</v>
      </c>
      <c r="I279" s="6" t="s">
        <v>746</v>
      </c>
      <c r="J279" s="6" t="s">
        <v>747</v>
      </c>
    </row>
    <row r="280" spans="1:10" s="6" customFormat="1" ht="374.4" x14ac:dyDescent="0.3">
      <c r="A280" s="6" t="str">
        <f>HYPERLINK("https://grants.gov/search-results-detail/357716","RFA-AA-24-012")</f>
        <v>RFA-AA-24-012</v>
      </c>
      <c r="B280" s="6" t="s">
        <v>809</v>
      </c>
      <c r="C280" s="6" t="s">
        <v>71</v>
      </c>
      <c r="D280" s="6" t="s">
        <v>72</v>
      </c>
      <c r="E280" s="7">
        <v>45707</v>
      </c>
      <c r="F280" s="8"/>
      <c r="G280" s="8"/>
      <c r="I280" s="6" t="s">
        <v>810</v>
      </c>
      <c r="J280" s="6" t="s">
        <v>811</v>
      </c>
    </row>
    <row r="281" spans="1:10" s="6" customFormat="1" ht="187.2" x14ac:dyDescent="0.3">
      <c r="A281" s="6" t="str">
        <f>HYPERLINK("https://grants.gov/search-results-detail/357594","PAR-24-287")</f>
        <v>PAR-24-287</v>
      </c>
      <c r="B281" s="6" t="s">
        <v>882</v>
      </c>
      <c r="C281" s="6" t="s">
        <v>71</v>
      </c>
      <c r="D281" s="6" t="s">
        <v>72</v>
      </c>
      <c r="E281" s="7">
        <v>45707</v>
      </c>
      <c r="F281" s="8"/>
      <c r="G281" s="8"/>
      <c r="I281" s="6" t="s">
        <v>883</v>
      </c>
      <c r="J281" s="6" t="s">
        <v>884</v>
      </c>
    </row>
    <row r="282" spans="1:10" s="6" customFormat="1" ht="172.8" x14ac:dyDescent="0.3">
      <c r="A282" s="6" t="str">
        <f>HYPERLINK("https://grants.gov/search-results-detail/357635","PAR-25-224")</f>
        <v>PAR-25-224</v>
      </c>
      <c r="B282" s="6" t="s">
        <v>868</v>
      </c>
      <c r="C282" s="6" t="s">
        <v>71</v>
      </c>
      <c r="D282" s="6" t="s">
        <v>72</v>
      </c>
      <c r="E282" s="7">
        <v>45709</v>
      </c>
      <c r="F282" s="8"/>
      <c r="G282" s="8"/>
      <c r="I282" s="6" t="s">
        <v>869</v>
      </c>
      <c r="J282" s="6" t="s">
        <v>870</v>
      </c>
    </row>
    <row r="283" spans="1:10" s="6" customFormat="1" ht="244.8" x14ac:dyDescent="0.3">
      <c r="A283" s="6" t="str">
        <f>HYPERLINK("https://grants.gov/search-results-detail/356683","RFA-CA-24-033")</f>
        <v>RFA-CA-24-033</v>
      </c>
      <c r="B283" s="6" t="s">
        <v>1173</v>
      </c>
      <c r="C283" s="6" t="s">
        <v>71</v>
      </c>
      <c r="D283" s="6" t="s">
        <v>72</v>
      </c>
      <c r="E283" s="7">
        <v>45712</v>
      </c>
      <c r="F283" s="8">
        <v>1700000</v>
      </c>
      <c r="G283" s="8"/>
      <c r="I283" s="6" t="s">
        <v>1174</v>
      </c>
      <c r="J283" s="6" t="s">
        <v>1175</v>
      </c>
    </row>
    <row r="284" spans="1:10" s="6" customFormat="1" ht="172.8" x14ac:dyDescent="0.3">
      <c r="A284" s="6" t="str">
        <f>HYPERLINK("https://grants.gov/search-results-detail/356684","RFA-CA-24-034")</f>
        <v>RFA-CA-24-034</v>
      </c>
      <c r="B284" s="6" t="s">
        <v>1177</v>
      </c>
      <c r="C284" s="6" t="s">
        <v>71</v>
      </c>
      <c r="D284" s="6" t="s">
        <v>72</v>
      </c>
      <c r="E284" s="7">
        <v>45712</v>
      </c>
      <c r="F284" s="8">
        <v>8140000</v>
      </c>
      <c r="G284" s="8"/>
      <c r="I284" s="6" t="s">
        <v>1178</v>
      </c>
      <c r="J284" s="6" t="s">
        <v>1179</v>
      </c>
    </row>
    <row r="285" spans="1:10" s="6" customFormat="1" ht="244.8" x14ac:dyDescent="0.3">
      <c r="A285" s="6" t="str">
        <f>HYPERLINK("https://grants.gov/search-results-detail/356685","RFA-CA-24-035")</f>
        <v>RFA-CA-24-035</v>
      </c>
      <c r="B285" s="6" t="s">
        <v>1180</v>
      </c>
      <c r="C285" s="6" t="s">
        <v>71</v>
      </c>
      <c r="D285" s="6" t="s">
        <v>72</v>
      </c>
      <c r="E285" s="7">
        <v>45712</v>
      </c>
      <c r="F285" s="8">
        <v>850000</v>
      </c>
      <c r="G285" s="8"/>
      <c r="I285" s="6" t="s">
        <v>1181</v>
      </c>
      <c r="J285" s="6" t="s">
        <v>1182</v>
      </c>
    </row>
    <row r="286" spans="1:10" s="6" customFormat="1" ht="158.4" x14ac:dyDescent="0.3">
      <c r="A286" s="6" t="str">
        <f>HYPERLINK("https://grants.gov/search-results-detail/356682","RFA-CA-24-032")</f>
        <v>RFA-CA-24-032</v>
      </c>
      <c r="B286" s="6" t="s">
        <v>1183</v>
      </c>
      <c r="C286" s="6" t="s">
        <v>71</v>
      </c>
      <c r="D286" s="6" t="s">
        <v>72</v>
      </c>
      <c r="E286" s="7">
        <v>45712</v>
      </c>
      <c r="F286" s="8"/>
      <c r="G286" s="8"/>
      <c r="I286" s="6" t="s">
        <v>1184</v>
      </c>
      <c r="J286" s="6" t="s">
        <v>1185</v>
      </c>
    </row>
    <row r="287" spans="1:10" s="6" customFormat="1" ht="172.8" x14ac:dyDescent="0.3">
      <c r="A287" s="6" t="str">
        <f>HYPERLINK("https://grants.gov/search-results-detail/356681","RFA-CA-24-030")</f>
        <v>RFA-CA-24-030</v>
      </c>
      <c r="B287" s="6" t="s">
        <v>1186</v>
      </c>
      <c r="C287" s="6" t="s">
        <v>71</v>
      </c>
      <c r="D287" s="6" t="s">
        <v>72</v>
      </c>
      <c r="E287" s="7">
        <v>45712</v>
      </c>
      <c r="F287" s="8"/>
      <c r="G287" s="8"/>
      <c r="I287" s="6" t="s">
        <v>1187</v>
      </c>
      <c r="J287" s="6" t="s">
        <v>1188</v>
      </c>
    </row>
    <row r="288" spans="1:10" s="6" customFormat="1" ht="144" x14ac:dyDescent="0.3">
      <c r="A288" s="6" t="str">
        <f>HYPERLINK("https://grants.gov/search-results-detail/356673","RFA-CA-24-031")</f>
        <v>RFA-CA-24-031</v>
      </c>
      <c r="B288" s="6" t="s">
        <v>1189</v>
      </c>
      <c r="C288" s="6" t="s">
        <v>71</v>
      </c>
      <c r="D288" s="6" t="s">
        <v>72</v>
      </c>
      <c r="E288" s="7">
        <v>45712</v>
      </c>
      <c r="F288" s="8"/>
      <c r="G288" s="8"/>
      <c r="I288" s="6" t="s">
        <v>1190</v>
      </c>
      <c r="J288" s="6" t="s">
        <v>1191</v>
      </c>
    </row>
    <row r="289" spans="1:10" s="6" customFormat="1" ht="216" x14ac:dyDescent="0.3">
      <c r="A289" s="6" t="str">
        <f>HYPERLINK("https://grants.gov/search-results-detail/356999","RFA-DA-26-024")</f>
        <v>RFA-DA-26-024</v>
      </c>
      <c r="B289" s="6" t="s">
        <v>1115</v>
      </c>
      <c r="C289" s="6" t="s">
        <v>71</v>
      </c>
      <c r="D289" s="6" t="s">
        <v>72</v>
      </c>
      <c r="E289" s="7">
        <v>45715</v>
      </c>
      <c r="F289" s="8"/>
      <c r="G289" s="8"/>
      <c r="I289" s="6" t="s">
        <v>1036</v>
      </c>
      <c r="J289" s="6" t="s">
        <v>1116</v>
      </c>
    </row>
    <row r="290" spans="1:10" s="6" customFormat="1" ht="244.8" x14ac:dyDescent="0.3">
      <c r="A290" s="6" t="str">
        <f>HYPERLINK("https://grants.gov/search-results-detail/356814","RFA-RM-24-009")</f>
        <v>RFA-RM-24-009</v>
      </c>
      <c r="B290" s="6" t="s">
        <v>1152</v>
      </c>
      <c r="C290" s="6" t="s">
        <v>71</v>
      </c>
      <c r="D290" s="6" t="s">
        <v>72</v>
      </c>
      <c r="E290" s="7">
        <v>45715</v>
      </c>
      <c r="F290" s="8">
        <v>350000</v>
      </c>
      <c r="G290" s="8"/>
      <c r="I290" s="6" t="s">
        <v>1153</v>
      </c>
      <c r="J290" s="6" t="s">
        <v>1154</v>
      </c>
    </row>
    <row r="291" spans="1:10" s="6" customFormat="1" ht="172.8" x14ac:dyDescent="0.3">
      <c r="A291" s="6" t="str">
        <f>HYPERLINK("https://grants.gov/search-results-detail/357666","RFA-NR-25-003")</f>
        <v>RFA-NR-25-003</v>
      </c>
      <c r="B291" s="6" t="s">
        <v>854</v>
      </c>
      <c r="C291" s="6" t="s">
        <v>71</v>
      </c>
      <c r="D291" s="6" t="s">
        <v>72</v>
      </c>
      <c r="E291" s="7">
        <v>45716</v>
      </c>
      <c r="F291" s="8">
        <v>500000</v>
      </c>
      <c r="G291" s="8"/>
      <c r="I291" s="6" t="s">
        <v>855</v>
      </c>
      <c r="J291" s="6" t="s">
        <v>856</v>
      </c>
    </row>
    <row r="292" spans="1:10" s="6" customFormat="1" ht="172.8" x14ac:dyDescent="0.3">
      <c r="A292" s="6" t="str">
        <f>HYPERLINK("https://grants.gov/search-results-detail/357660","RFA-AG-25-001")</f>
        <v>RFA-AG-25-001</v>
      </c>
      <c r="B292" s="6" t="s">
        <v>874</v>
      </c>
      <c r="C292" s="6" t="s">
        <v>71</v>
      </c>
      <c r="D292" s="6" t="s">
        <v>72</v>
      </c>
      <c r="E292" s="7">
        <v>45716</v>
      </c>
      <c r="F292" s="8"/>
      <c r="G292" s="8"/>
      <c r="I292" s="6" t="s">
        <v>875</v>
      </c>
      <c r="J292" s="6" t="s">
        <v>876</v>
      </c>
    </row>
    <row r="293" spans="1:10" s="6" customFormat="1" ht="129.6" x14ac:dyDescent="0.3">
      <c r="A293" s="6" t="str">
        <f>HYPERLINK("https://grants.gov/search-results-detail/357463","RFA-AG-24-049")</f>
        <v>RFA-AG-24-049</v>
      </c>
      <c r="B293" s="6" t="s">
        <v>967</v>
      </c>
      <c r="C293" s="6" t="s">
        <v>71</v>
      </c>
      <c r="D293" s="6" t="s">
        <v>72</v>
      </c>
      <c r="E293" s="7">
        <v>45716</v>
      </c>
      <c r="F293" s="8">
        <v>1000000</v>
      </c>
      <c r="G293" s="8"/>
      <c r="I293" s="6" t="s">
        <v>968</v>
      </c>
      <c r="J293" s="6" t="s">
        <v>969</v>
      </c>
    </row>
    <row r="294" spans="1:10" s="6" customFormat="1" ht="172.8" x14ac:dyDescent="0.3">
      <c r="A294" s="6" t="str">
        <f>HYPERLINK("https://grants.gov/search-results-detail/357270","PAR-25-186")</f>
        <v>PAR-25-186</v>
      </c>
      <c r="B294" s="6" t="s">
        <v>1056</v>
      </c>
      <c r="C294" s="6" t="s">
        <v>71</v>
      </c>
      <c r="D294" s="6" t="s">
        <v>72</v>
      </c>
      <c r="E294" s="7">
        <v>45716</v>
      </c>
      <c r="F294" s="8"/>
      <c r="G294" s="8"/>
      <c r="I294" s="6" t="s">
        <v>1057</v>
      </c>
      <c r="J294" s="6" t="s">
        <v>1058</v>
      </c>
    </row>
    <row r="295" spans="1:10" s="6" customFormat="1" ht="144" x14ac:dyDescent="0.3">
      <c r="A295" s="6" t="str">
        <f>HYPERLINK("https://grants.gov/search-results-detail/357233","PAR-25-275")</f>
        <v>PAR-25-275</v>
      </c>
      <c r="B295" s="6" t="s">
        <v>1067</v>
      </c>
      <c r="C295" s="6" t="s">
        <v>71</v>
      </c>
      <c r="D295" s="6" t="s">
        <v>72</v>
      </c>
      <c r="E295" s="7">
        <v>45716</v>
      </c>
      <c r="F295" s="8"/>
      <c r="G295" s="8"/>
      <c r="I295" s="6" t="s">
        <v>1068</v>
      </c>
      <c r="J295" s="6" t="s">
        <v>1069</v>
      </c>
    </row>
    <row r="296" spans="1:10" s="6" customFormat="1" ht="115.2" x14ac:dyDescent="0.3">
      <c r="A296" s="6" t="str">
        <f>HYPERLINK("https://grants.gov/search-results-detail/357086","RFA-MD-25-001")</f>
        <v>RFA-MD-25-001</v>
      </c>
      <c r="B296" s="6" t="s">
        <v>1100</v>
      </c>
      <c r="C296" s="6" t="s">
        <v>71</v>
      </c>
      <c r="D296" s="6" t="s">
        <v>72</v>
      </c>
      <c r="E296" s="7">
        <v>45716</v>
      </c>
      <c r="F296" s="8">
        <v>250000</v>
      </c>
      <c r="G296" s="8"/>
      <c r="I296" s="6" t="s">
        <v>1101</v>
      </c>
      <c r="J296" s="6" t="s">
        <v>1102</v>
      </c>
    </row>
    <row r="297" spans="1:10" s="6" customFormat="1" ht="201.6" x14ac:dyDescent="0.3">
      <c r="A297" s="6" t="str">
        <f>HYPERLINK("https://grants.gov/search-results-detail/343319","PAR-22-233")</f>
        <v>PAR-22-233</v>
      </c>
      <c r="B297" s="6" t="s">
        <v>1595</v>
      </c>
      <c r="C297" s="6" t="s">
        <v>71</v>
      </c>
      <c r="D297" s="6" t="s">
        <v>72</v>
      </c>
      <c r="E297" s="7">
        <v>45718</v>
      </c>
      <c r="F297" s="8"/>
      <c r="G297" s="8"/>
      <c r="I297" s="6" t="s">
        <v>1596</v>
      </c>
      <c r="J297" s="6" t="s">
        <v>1597</v>
      </c>
    </row>
    <row r="298" spans="1:10" s="6" customFormat="1" ht="158.4" x14ac:dyDescent="0.3">
      <c r="A298" s="6" t="str">
        <f>HYPERLINK("https://grants.gov/search-results-detail/357942","RFA-EY-25-002")</f>
        <v>RFA-EY-25-002</v>
      </c>
      <c r="B298" s="6" t="s">
        <v>595</v>
      </c>
      <c r="C298" s="6" t="s">
        <v>71</v>
      </c>
      <c r="D298" s="6" t="s">
        <v>72</v>
      </c>
      <c r="E298" s="7">
        <v>45719</v>
      </c>
      <c r="F298" s="8">
        <v>1000000</v>
      </c>
      <c r="G298" s="8"/>
      <c r="I298" s="6" t="s">
        <v>596</v>
      </c>
      <c r="J298" s="6" t="s">
        <v>597</v>
      </c>
    </row>
    <row r="299" spans="1:10" s="6" customFormat="1" ht="144" x14ac:dyDescent="0.3">
      <c r="A299" s="6" t="str">
        <f>HYPERLINK("https://grants.gov/search-results-detail/357569","RFA-HG-25-007")</f>
        <v>RFA-HG-25-007</v>
      </c>
      <c r="B299" s="6" t="s">
        <v>902</v>
      </c>
      <c r="C299" s="6" t="s">
        <v>71</v>
      </c>
      <c r="D299" s="6" t="s">
        <v>72</v>
      </c>
      <c r="E299" s="7">
        <v>45719</v>
      </c>
      <c r="F299" s="8">
        <v>400000</v>
      </c>
      <c r="G299" s="8"/>
      <c r="I299" s="6" t="s">
        <v>903</v>
      </c>
      <c r="J299" s="6" t="s">
        <v>904</v>
      </c>
    </row>
    <row r="300" spans="1:10" s="6" customFormat="1" ht="129.6" x14ac:dyDescent="0.3">
      <c r="A300" s="6" t="str">
        <f>HYPERLINK("https://grants.gov/search-results-detail/357477","RFA-RM-24-012")</f>
        <v>RFA-RM-24-012</v>
      </c>
      <c r="B300" s="6" t="s">
        <v>964</v>
      </c>
      <c r="C300" s="6" t="s">
        <v>71</v>
      </c>
      <c r="D300" s="6" t="s">
        <v>72</v>
      </c>
      <c r="E300" s="7">
        <v>45723</v>
      </c>
      <c r="F300" s="8"/>
      <c r="G300" s="8"/>
      <c r="I300" s="6" t="s">
        <v>965</v>
      </c>
      <c r="J300" s="6" t="s">
        <v>966</v>
      </c>
    </row>
    <row r="301" spans="1:10" s="6" customFormat="1" ht="230.4" x14ac:dyDescent="0.3">
      <c r="A301" s="6" t="str">
        <f>HYPERLINK("https://grants.gov/search-results-detail/358091","RFA-NR-25-004")</f>
        <v>RFA-NR-25-004</v>
      </c>
      <c r="B301" s="6" t="s">
        <v>461</v>
      </c>
      <c r="C301" s="6" t="s">
        <v>71</v>
      </c>
      <c r="D301" s="6" t="s">
        <v>72</v>
      </c>
      <c r="E301" s="7">
        <v>45726</v>
      </c>
      <c r="F301" s="8">
        <v>500000</v>
      </c>
      <c r="G301" s="8"/>
      <c r="I301" s="6" t="s">
        <v>462</v>
      </c>
      <c r="J301" s="6" t="s">
        <v>463</v>
      </c>
    </row>
    <row r="302" spans="1:10" s="6" customFormat="1" ht="216" x14ac:dyDescent="0.3">
      <c r="A302" s="6" t="str">
        <f>HYPERLINK("https://grants.gov/search-results-detail/358043","RFA-RM-24-013")</f>
        <v>RFA-RM-24-013</v>
      </c>
      <c r="B302" s="6" t="s">
        <v>495</v>
      </c>
      <c r="C302" s="6" t="s">
        <v>71</v>
      </c>
      <c r="D302" s="6" t="s">
        <v>72</v>
      </c>
      <c r="E302" s="7">
        <v>45726</v>
      </c>
      <c r="F302" s="8"/>
      <c r="G302" s="8"/>
      <c r="H302" s="6">
        <v>1</v>
      </c>
      <c r="I302" s="6" t="s">
        <v>496</v>
      </c>
      <c r="J302" s="6" t="s">
        <v>497</v>
      </c>
    </row>
    <row r="303" spans="1:10" s="6" customFormat="1" ht="259.2" x14ac:dyDescent="0.3">
      <c r="A303" s="6" t="str">
        <f>HYPERLINK("https://grants.gov/search-results-detail/357066","PAR-25-054")</f>
        <v>PAR-25-054</v>
      </c>
      <c r="B303" s="6" t="s">
        <v>1103</v>
      </c>
      <c r="C303" s="6" t="s">
        <v>71</v>
      </c>
      <c r="D303" s="6" t="s">
        <v>72</v>
      </c>
      <c r="E303" s="7">
        <v>45726</v>
      </c>
      <c r="F303" s="8"/>
      <c r="G303" s="8"/>
      <c r="I303" s="6" t="s">
        <v>73</v>
      </c>
      <c r="J303" s="6" t="s">
        <v>1104</v>
      </c>
    </row>
    <row r="304" spans="1:10" s="6" customFormat="1" ht="230.4" x14ac:dyDescent="0.3">
      <c r="A304" s="6" t="str">
        <f>HYPERLINK("https://grants.gov/search-results-detail/344927","RFA-NS-22-023")</f>
        <v>RFA-NS-22-023</v>
      </c>
      <c r="B304" s="6" t="s">
        <v>1558</v>
      </c>
      <c r="C304" s="6" t="s">
        <v>71</v>
      </c>
      <c r="D304" s="6" t="s">
        <v>72</v>
      </c>
      <c r="E304" s="7">
        <v>45727</v>
      </c>
      <c r="F304" s="8"/>
      <c r="G304" s="8"/>
      <c r="I304" s="6" t="s">
        <v>1559</v>
      </c>
      <c r="J304" s="6" t="s">
        <v>1560</v>
      </c>
    </row>
    <row r="305" spans="1:10" s="6" customFormat="1" ht="216" x14ac:dyDescent="0.3">
      <c r="A305" s="6" t="str">
        <f>HYPERLINK("https://grants.gov/search-results-detail/344926","RFA-NS-22-022")</f>
        <v>RFA-NS-22-022</v>
      </c>
      <c r="B305" s="6" t="s">
        <v>1564</v>
      </c>
      <c r="C305" s="6" t="s">
        <v>71</v>
      </c>
      <c r="D305" s="6" t="s">
        <v>72</v>
      </c>
      <c r="E305" s="7">
        <v>45727</v>
      </c>
      <c r="F305" s="8"/>
      <c r="G305" s="8"/>
      <c r="I305" s="6" t="s">
        <v>1565</v>
      </c>
      <c r="J305" s="6" t="s">
        <v>1560</v>
      </c>
    </row>
    <row r="306" spans="1:10" s="6" customFormat="1" ht="273.60000000000002" x14ac:dyDescent="0.3">
      <c r="A306" s="6" t="str">
        <f>HYPERLINK("https://grants.gov/search-results-detail/344929","RFA-NS-22-025")</f>
        <v>RFA-NS-22-025</v>
      </c>
      <c r="B306" s="6" t="s">
        <v>1566</v>
      </c>
      <c r="C306" s="6" t="s">
        <v>71</v>
      </c>
      <c r="D306" s="6" t="s">
        <v>72</v>
      </c>
      <c r="E306" s="7">
        <v>45727</v>
      </c>
      <c r="F306" s="8"/>
      <c r="G306" s="8"/>
      <c r="I306" s="6" t="s">
        <v>1567</v>
      </c>
      <c r="J306" s="6" t="s">
        <v>1568</v>
      </c>
    </row>
    <row r="307" spans="1:10" s="6" customFormat="1" ht="259.2" x14ac:dyDescent="0.3">
      <c r="A307" s="6" t="str">
        <f>HYPERLINK("https://grants.gov/search-results-detail/344928","RFA-NS-22-024")</f>
        <v>RFA-NS-22-024</v>
      </c>
      <c r="B307" s="6" t="s">
        <v>1569</v>
      </c>
      <c r="C307" s="6" t="s">
        <v>71</v>
      </c>
      <c r="D307" s="6" t="s">
        <v>72</v>
      </c>
      <c r="E307" s="7">
        <v>45727</v>
      </c>
      <c r="F307" s="8"/>
      <c r="G307" s="8"/>
      <c r="I307" s="6" t="s">
        <v>1570</v>
      </c>
      <c r="J307" s="6" t="s">
        <v>1571</v>
      </c>
    </row>
    <row r="308" spans="1:10" s="6" customFormat="1" ht="187.2" x14ac:dyDescent="0.3">
      <c r="A308" s="6" t="str">
        <f>HYPERLINK("https://grants.gov/search-results-detail/357495","RFA-DA-26-004")</f>
        <v>RFA-DA-26-004</v>
      </c>
      <c r="B308" s="6" t="s">
        <v>958</v>
      </c>
      <c r="C308" s="6" t="s">
        <v>71</v>
      </c>
      <c r="D308" s="6" t="s">
        <v>72</v>
      </c>
      <c r="E308" s="7">
        <v>45728</v>
      </c>
      <c r="F308" s="8">
        <v>225000</v>
      </c>
      <c r="G308" s="8"/>
      <c r="I308" s="6" t="s">
        <v>866</v>
      </c>
      <c r="J308" s="6" t="s">
        <v>959</v>
      </c>
    </row>
    <row r="309" spans="1:10" s="6" customFormat="1" ht="187.2" x14ac:dyDescent="0.3">
      <c r="A309" s="6" t="str">
        <f>HYPERLINK("https://grants.gov/search-results-detail/357494","RFA-DA-26-003")</f>
        <v>RFA-DA-26-003</v>
      </c>
      <c r="B309" s="6" t="s">
        <v>960</v>
      </c>
      <c r="C309" s="6" t="s">
        <v>71</v>
      </c>
      <c r="D309" s="6" t="s">
        <v>72</v>
      </c>
      <c r="E309" s="7">
        <v>45728</v>
      </c>
      <c r="F309" s="8">
        <v>500000</v>
      </c>
      <c r="G309" s="8"/>
      <c r="I309" s="6" t="s">
        <v>961</v>
      </c>
      <c r="J309" s="6" t="s">
        <v>959</v>
      </c>
    </row>
    <row r="310" spans="1:10" s="6" customFormat="1" ht="158.4" x14ac:dyDescent="0.3">
      <c r="A310" s="6" t="str">
        <f>HYPERLINK("https://grants.gov/search-results-detail/356439","RFA-AI-24-023")</f>
        <v>RFA-AI-24-023</v>
      </c>
      <c r="B310" s="6" t="s">
        <v>1219</v>
      </c>
      <c r="C310" s="6" t="s">
        <v>71</v>
      </c>
      <c r="D310" s="6" t="s">
        <v>72</v>
      </c>
      <c r="E310" s="7">
        <v>45728</v>
      </c>
      <c r="F310" s="8">
        <v>400000</v>
      </c>
      <c r="G310" s="8"/>
      <c r="I310" s="6" t="s">
        <v>1220</v>
      </c>
      <c r="J310" s="6" t="s">
        <v>1221</v>
      </c>
    </row>
    <row r="311" spans="1:10" s="6" customFormat="1" ht="158.4" x14ac:dyDescent="0.3">
      <c r="A311" s="6" t="str">
        <f>HYPERLINK("https://grants.gov/search-results-detail/357333","RFA-AI-24-076")</f>
        <v>RFA-AI-24-076</v>
      </c>
      <c r="B311" s="6" t="s">
        <v>1025</v>
      </c>
      <c r="C311" s="6" t="s">
        <v>71</v>
      </c>
      <c r="D311" s="6" t="s">
        <v>72</v>
      </c>
      <c r="E311" s="7">
        <v>45729</v>
      </c>
      <c r="F311" s="8"/>
      <c r="G311" s="8"/>
      <c r="I311" s="6" t="s">
        <v>1026</v>
      </c>
      <c r="J311" s="6" t="s">
        <v>1027</v>
      </c>
    </row>
    <row r="312" spans="1:10" s="6" customFormat="1" ht="144" x14ac:dyDescent="0.3">
      <c r="A312" s="6" t="str">
        <f>HYPERLINK("https://grants.gov/search-results-detail/356892","RFA-DA-25-068")</f>
        <v>RFA-DA-25-068</v>
      </c>
      <c r="B312" s="6" t="s">
        <v>1142</v>
      </c>
      <c r="C312" s="6" t="s">
        <v>71</v>
      </c>
      <c r="D312" s="6" t="s">
        <v>72</v>
      </c>
      <c r="E312" s="7">
        <v>45729</v>
      </c>
      <c r="F312" s="8">
        <v>500000</v>
      </c>
      <c r="G312" s="8"/>
      <c r="I312" s="6" t="s">
        <v>1143</v>
      </c>
      <c r="J312" s="6" t="s">
        <v>1144</v>
      </c>
    </row>
    <row r="313" spans="1:10" s="6" customFormat="1" ht="129.6" x14ac:dyDescent="0.3">
      <c r="A313" s="6" t="str">
        <f>HYPERLINK("https://grants.gov/search-results-detail/356891","RFA-DA-25-069")</f>
        <v>RFA-DA-25-069</v>
      </c>
      <c r="B313" s="6" t="s">
        <v>1145</v>
      </c>
      <c r="C313" s="6" t="s">
        <v>71</v>
      </c>
      <c r="D313" s="6" t="s">
        <v>72</v>
      </c>
      <c r="E313" s="7">
        <v>45729</v>
      </c>
      <c r="F313" s="8">
        <v>500000</v>
      </c>
      <c r="G313" s="8"/>
      <c r="I313" s="6" t="s">
        <v>1129</v>
      </c>
      <c r="J313" s="6" t="s">
        <v>1144</v>
      </c>
    </row>
    <row r="314" spans="1:10" s="6" customFormat="1" ht="158.4" x14ac:dyDescent="0.3">
      <c r="A314" s="6" t="str">
        <f>HYPERLINK("https://grants.gov/search-results-detail/356068","RFA-DA-26-008")</f>
        <v>RFA-DA-26-008</v>
      </c>
      <c r="B314" s="6" t="s">
        <v>1261</v>
      </c>
      <c r="C314" s="6" t="s">
        <v>71</v>
      </c>
      <c r="D314" s="6" t="s">
        <v>72</v>
      </c>
      <c r="E314" s="7">
        <v>45729</v>
      </c>
      <c r="F314" s="8"/>
      <c r="G314" s="8"/>
      <c r="I314" s="6" t="s">
        <v>903</v>
      </c>
      <c r="J314" s="6" t="s">
        <v>1262</v>
      </c>
    </row>
    <row r="315" spans="1:10" s="6" customFormat="1" ht="158.4" x14ac:dyDescent="0.3">
      <c r="A315" s="6" t="str">
        <f>HYPERLINK("https://grants.gov/search-results-detail/356067","RFA-DA-26-007")</f>
        <v>RFA-DA-26-007</v>
      </c>
      <c r="B315" s="6" t="s">
        <v>1263</v>
      </c>
      <c r="C315" s="6" t="s">
        <v>71</v>
      </c>
      <c r="D315" s="6" t="s">
        <v>72</v>
      </c>
      <c r="E315" s="7">
        <v>45729</v>
      </c>
      <c r="F315" s="8">
        <v>400000</v>
      </c>
      <c r="G315" s="8"/>
      <c r="I315" s="6" t="s">
        <v>1077</v>
      </c>
      <c r="J315" s="6" t="s">
        <v>1262</v>
      </c>
    </row>
    <row r="316" spans="1:10" s="6" customFormat="1" ht="172.8" x14ac:dyDescent="0.3">
      <c r="A316" s="6" t="str">
        <f>HYPERLINK("https://grants.gov/search-results-detail/357598","RFA-AG-25-015")</f>
        <v>RFA-AG-25-015</v>
      </c>
      <c r="B316" s="6" t="s">
        <v>888</v>
      </c>
      <c r="C316" s="6" t="s">
        <v>71</v>
      </c>
      <c r="D316" s="6" t="s">
        <v>72</v>
      </c>
      <c r="E316" s="7">
        <v>45730</v>
      </c>
      <c r="F316" s="8">
        <v>1000000</v>
      </c>
      <c r="G316" s="8"/>
      <c r="I316" s="6" t="s">
        <v>889</v>
      </c>
      <c r="J316" s="6" t="s">
        <v>890</v>
      </c>
    </row>
    <row r="317" spans="1:10" s="6" customFormat="1" ht="187.2" x14ac:dyDescent="0.3">
      <c r="A317" s="6" t="str">
        <f>HYPERLINK("https://grants.gov/search-results-detail/344352","PAR-23-033")</f>
        <v>PAR-23-033</v>
      </c>
      <c r="B317" s="6" t="s">
        <v>1579</v>
      </c>
      <c r="C317" s="6" t="s">
        <v>71</v>
      </c>
      <c r="D317" s="6" t="s">
        <v>72</v>
      </c>
      <c r="E317" s="7">
        <v>45730</v>
      </c>
      <c r="F317" s="8">
        <v>3000000</v>
      </c>
      <c r="G317" s="8"/>
      <c r="I317" s="6" t="s">
        <v>1033</v>
      </c>
      <c r="J317" s="6" t="s">
        <v>1580</v>
      </c>
    </row>
    <row r="318" spans="1:10" s="6" customFormat="1" ht="187.2" x14ac:dyDescent="0.3">
      <c r="A318" s="6" t="str">
        <f>HYPERLINK("https://grants.gov/search-results-detail/342856","RFA-OD-22-014")</f>
        <v>RFA-OD-22-014</v>
      </c>
      <c r="B318" s="6" t="s">
        <v>1601</v>
      </c>
      <c r="C318" s="6" t="s">
        <v>71</v>
      </c>
      <c r="D318" s="6" t="s">
        <v>72</v>
      </c>
      <c r="E318" s="7">
        <v>45730</v>
      </c>
      <c r="F318" s="8"/>
      <c r="G318" s="8"/>
      <c r="I318" s="6" t="s">
        <v>1602</v>
      </c>
      <c r="J318" s="6" t="s">
        <v>1603</v>
      </c>
    </row>
    <row r="319" spans="1:10" s="6" customFormat="1" ht="288" x14ac:dyDescent="0.3">
      <c r="A319" s="6" t="str">
        <f>HYPERLINK("https://grants.gov/search-results-detail/358045","PAR-25-335")</f>
        <v>PAR-25-335</v>
      </c>
      <c r="B319" s="6" t="s">
        <v>498</v>
      </c>
      <c r="C319" s="6" t="s">
        <v>71</v>
      </c>
      <c r="D319" s="6" t="s">
        <v>72</v>
      </c>
      <c r="E319" s="7">
        <v>45732</v>
      </c>
      <c r="F319" s="8"/>
      <c r="G319" s="8"/>
      <c r="I319" s="6" t="s">
        <v>499</v>
      </c>
      <c r="J319" s="6" t="s">
        <v>500</v>
      </c>
    </row>
    <row r="320" spans="1:10" s="6" customFormat="1" ht="244.8" x14ac:dyDescent="0.3">
      <c r="A320" s="6" t="str">
        <f>HYPERLINK("https://grants.gov/search-results-detail/358047","PAR-25-363")</f>
        <v>PAR-25-363</v>
      </c>
      <c r="B320" s="6" t="s">
        <v>501</v>
      </c>
      <c r="C320" s="6" t="s">
        <v>71</v>
      </c>
      <c r="D320" s="6" t="s">
        <v>72</v>
      </c>
      <c r="E320" s="7">
        <v>45732</v>
      </c>
      <c r="F320" s="8">
        <v>1000000</v>
      </c>
      <c r="G320" s="8"/>
      <c r="I320" s="6" t="s">
        <v>502</v>
      </c>
      <c r="J320" s="6" t="s">
        <v>503</v>
      </c>
    </row>
    <row r="321" spans="1:10" s="6" customFormat="1" ht="187.2" x14ac:dyDescent="0.3">
      <c r="A321" s="6" t="str">
        <f>HYPERLINK("https://grants.gov/search-results-detail/358120","RFA-HL-26-007")</f>
        <v>RFA-HL-26-007</v>
      </c>
      <c r="B321" s="6" t="s">
        <v>433</v>
      </c>
      <c r="C321" s="6" t="s">
        <v>71</v>
      </c>
      <c r="D321" s="6" t="s">
        <v>72</v>
      </c>
      <c r="E321" s="7">
        <v>45734</v>
      </c>
      <c r="F321" s="8">
        <v>4010000</v>
      </c>
      <c r="G321" s="8"/>
      <c r="I321" s="6" t="s">
        <v>434</v>
      </c>
      <c r="J321" s="6" t="s">
        <v>435</v>
      </c>
    </row>
    <row r="322" spans="1:10" s="6" customFormat="1" ht="187.2" x14ac:dyDescent="0.3">
      <c r="A322" s="6" t="str">
        <f>HYPERLINK("https://grants.gov/search-results-detail/357743","RFA-DK-25-023")</f>
        <v>RFA-DK-25-023</v>
      </c>
      <c r="B322" s="6" t="s">
        <v>803</v>
      </c>
      <c r="C322" s="6" t="s">
        <v>71</v>
      </c>
      <c r="D322" s="6" t="s">
        <v>72</v>
      </c>
      <c r="E322" s="7">
        <v>45734</v>
      </c>
      <c r="F322" s="8"/>
      <c r="G322" s="8"/>
      <c r="H322" s="6">
        <v>1</v>
      </c>
      <c r="I322" s="6" t="s">
        <v>804</v>
      </c>
      <c r="J322" s="6" t="s">
        <v>805</v>
      </c>
    </row>
    <row r="323" spans="1:10" s="6" customFormat="1" ht="216" x14ac:dyDescent="0.3">
      <c r="A323" s="6" t="str">
        <f>HYPERLINK("https://grants.gov/search-results-detail/357631","RFA-RM-24-010")</f>
        <v>RFA-RM-24-010</v>
      </c>
      <c r="B323" s="6" t="s">
        <v>871</v>
      </c>
      <c r="C323" s="6" t="s">
        <v>71</v>
      </c>
      <c r="D323" s="6" t="s">
        <v>72</v>
      </c>
      <c r="E323" s="7">
        <v>45734</v>
      </c>
      <c r="F323" s="8"/>
      <c r="G323" s="8"/>
      <c r="I323" s="6" t="s">
        <v>872</v>
      </c>
      <c r="J323" s="6" t="s">
        <v>873</v>
      </c>
    </row>
    <row r="324" spans="1:10" s="6" customFormat="1" ht="201.6" x14ac:dyDescent="0.3">
      <c r="A324" s="6" t="str">
        <f>HYPERLINK("https://grants.gov/search-results-detail/357290","RFA-MH-26-111")</f>
        <v>RFA-MH-26-111</v>
      </c>
      <c r="B324" s="6" t="s">
        <v>1035</v>
      </c>
      <c r="C324" s="6" t="s">
        <v>71</v>
      </c>
      <c r="D324" s="6" t="s">
        <v>72</v>
      </c>
      <c r="E324" s="7">
        <v>45734</v>
      </c>
      <c r="F324" s="8"/>
      <c r="G324" s="8"/>
      <c r="I324" s="6" t="s">
        <v>1036</v>
      </c>
      <c r="J324" s="6" t="s">
        <v>1037</v>
      </c>
    </row>
    <row r="325" spans="1:10" s="6" customFormat="1" ht="201.6" x14ac:dyDescent="0.3">
      <c r="A325" s="6" t="str">
        <f>HYPERLINK("https://grants.gov/search-results-detail/357289","RFA-MH-26-110")</f>
        <v>RFA-MH-26-110</v>
      </c>
      <c r="B325" s="6" t="s">
        <v>1038</v>
      </c>
      <c r="C325" s="6" t="s">
        <v>71</v>
      </c>
      <c r="D325" s="6" t="s">
        <v>72</v>
      </c>
      <c r="E325" s="7">
        <v>45734</v>
      </c>
      <c r="F325" s="8"/>
      <c r="G325" s="8"/>
      <c r="I325" s="6" t="s">
        <v>869</v>
      </c>
      <c r="J325" s="6" t="s">
        <v>1037</v>
      </c>
    </row>
    <row r="326" spans="1:10" s="6" customFormat="1" ht="230.4" x14ac:dyDescent="0.3">
      <c r="A326" s="6" t="str">
        <f>HYPERLINK("https://grants.gov/search-results-detail/357549","RFA-HD-26-005")</f>
        <v>RFA-HD-26-005</v>
      </c>
      <c r="B326" s="6" t="s">
        <v>926</v>
      </c>
      <c r="C326" s="6" t="s">
        <v>71</v>
      </c>
      <c r="D326" s="6" t="s">
        <v>72</v>
      </c>
      <c r="E326" s="7">
        <v>45735</v>
      </c>
      <c r="F326" s="8"/>
      <c r="G326" s="8"/>
      <c r="I326" s="6" t="s">
        <v>927</v>
      </c>
      <c r="J326" s="6" t="s">
        <v>928</v>
      </c>
    </row>
    <row r="327" spans="1:10" s="6" customFormat="1" ht="144" x14ac:dyDescent="0.3">
      <c r="A327" s="6" t="str">
        <f>HYPERLINK("https://grants.gov/search-results-detail/356716","RFA-DA-25-070")</f>
        <v>RFA-DA-25-070</v>
      </c>
      <c r="B327" s="6" t="s">
        <v>1161</v>
      </c>
      <c r="C327" s="6" t="s">
        <v>71</v>
      </c>
      <c r="D327" s="6" t="s">
        <v>72</v>
      </c>
      <c r="E327" s="7">
        <v>45735</v>
      </c>
      <c r="F327" s="8">
        <v>450000</v>
      </c>
      <c r="G327" s="8"/>
      <c r="I327" s="6" t="s">
        <v>1036</v>
      </c>
      <c r="J327" s="6" t="s">
        <v>1162</v>
      </c>
    </row>
    <row r="328" spans="1:10" s="6" customFormat="1" ht="144" x14ac:dyDescent="0.3">
      <c r="A328" s="6" t="str">
        <f>HYPERLINK("https://grants.gov/search-results-detail/356719","RFA-DA-25-072")</f>
        <v>RFA-DA-25-072</v>
      </c>
      <c r="B328" s="6" t="s">
        <v>1163</v>
      </c>
      <c r="C328" s="6" t="s">
        <v>71</v>
      </c>
      <c r="D328" s="6" t="s">
        <v>72</v>
      </c>
      <c r="E328" s="7">
        <v>45735</v>
      </c>
      <c r="F328" s="8"/>
      <c r="G328" s="8"/>
      <c r="I328" s="6" t="s">
        <v>1164</v>
      </c>
      <c r="J328" s="6" t="s">
        <v>1162</v>
      </c>
    </row>
    <row r="329" spans="1:10" s="6" customFormat="1" ht="201.6" x14ac:dyDescent="0.3">
      <c r="A329" s="6" t="str">
        <f>HYPERLINK("https://grants.gov/search-results-detail/357768","RFA-DA-25-077")</f>
        <v>RFA-DA-25-077</v>
      </c>
      <c r="B329" s="6" t="s">
        <v>782</v>
      </c>
      <c r="C329" s="6" t="s">
        <v>71</v>
      </c>
      <c r="D329" s="6" t="s">
        <v>72</v>
      </c>
      <c r="E329" s="7">
        <v>45736</v>
      </c>
      <c r="F329" s="8">
        <v>750000</v>
      </c>
      <c r="G329" s="8"/>
      <c r="H329" s="6">
        <v>12</v>
      </c>
      <c r="I329" s="6" t="s">
        <v>783</v>
      </c>
      <c r="J329" s="6" t="s">
        <v>784</v>
      </c>
    </row>
    <row r="330" spans="1:10" s="6" customFormat="1" ht="201.6" x14ac:dyDescent="0.3">
      <c r="A330" s="6" t="str">
        <f>HYPERLINK("https://grants.gov/search-results-detail/357770","RFA-DA-25-078")</f>
        <v>RFA-DA-25-078</v>
      </c>
      <c r="B330" s="6" t="s">
        <v>785</v>
      </c>
      <c r="C330" s="6" t="s">
        <v>71</v>
      </c>
      <c r="D330" s="6" t="s">
        <v>72</v>
      </c>
      <c r="E330" s="7">
        <v>45736</v>
      </c>
      <c r="F330" s="8"/>
      <c r="G330" s="8"/>
      <c r="H330" s="6">
        <v>12</v>
      </c>
      <c r="I330" s="6" t="s">
        <v>786</v>
      </c>
      <c r="J330" s="6" t="s">
        <v>787</v>
      </c>
    </row>
    <row r="331" spans="1:10" s="6" customFormat="1" ht="144" x14ac:dyDescent="0.3">
      <c r="A331" s="6" t="str">
        <f>HYPERLINK("https://grants.gov/search-results-detail/356438","RFA-DK-25-021")</f>
        <v>RFA-DK-25-021</v>
      </c>
      <c r="B331" s="6" t="s">
        <v>1222</v>
      </c>
      <c r="C331" s="6" t="s">
        <v>71</v>
      </c>
      <c r="D331" s="6" t="s">
        <v>72</v>
      </c>
      <c r="E331" s="7">
        <v>45736</v>
      </c>
      <c r="F331" s="8">
        <v>500000</v>
      </c>
      <c r="G331" s="8"/>
      <c r="I331" s="6" t="s">
        <v>866</v>
      </c>
      <c r="J331" s="6" t="s">
        <v>1223</v>
      </c>
    </row>
    <row r="332" spans="1:10" s="6" customFormat="1" ht="302.39999999999998" x14ac:dyDescent="0.3">
      <c r="A332" s="6" t="str">
        <f>HYPERLINK("https://grants.gov/search-results-detail/357300","RFA-NS-25-027")</f>
        <v>RFA-NS-25-027</v>
      </c>
      <c r="B332" s="6" t="s">
        <v>1053</v>
      </c>
      <c r="C332" s="6" t="s">
        <v>71</v>
      </c>
      <c r="D332" s="6" t="s">
        <v>72</v>
      </c>
      <c r="E332" s="7">
        <v>45741</v>
      </c>
      <c r="F332" s="8"/>
      <c r="G332" s="8"/>
      <c r="I332" s="6" t="s">
        <v>1054</v>
      </c>
      <c r="J332" s="6" t="s">
        <v>1055</v>
      </c>
    </row>
    <row r="333" spans="1:10" s="6" customFormat="1" ht="129.6" x14ac:dyDescent="0.3">
      <c r="A333" s="6" t="str">
        <f>HYPERLINK("https://grants.gov/search-results-detail/356952","RFA-AI-24-074")</f>
        <v>RFA-AI-24-074</v>
      </c>
      <c r="B333" s="6" t="s">
        <v>1128</v>
      </c>
      <c r="C333" s="6" t="s">
        <v>71</v>
      </c>
      <c r="D333" s="6" t="s">
        <v>72</v>
      </c>
      <c r="E333" s="7">
        <v>45742</v>
      </c>
      <c r="F333" s="8">
        <v>1500000</v>
      </c>
      <c r="G333" s="8"/>
      <c r="I333" s="6" t="s">
        <v>1129</v>
      </c>
      <c r="J333" s="6" t="s">
        <v>1130</v>
      </c>
    </row>
    <row r="334" spans="1:10" s="6" customFormat="1" ht="244.8" x14ac:dyDescent="0.3">
      <c r="A334" s="6" t="str">
        <f>HYPERLINK("https://grants.gov/search-results-detail/358119","RFA-MH-26-105")</f>
        <v>RFA-MH-26-105</v>
      </c>
      <c r="B334" s="6" t="s">
        <v>438</v>
      </c>
      <c r="C334" s="6" t="s">
        <v>71</v>
      </c>
      <c r="D334" s="6" t="s">
        <v>72</v>
      </c>
      <c r="E334" s="7">
        <v>45743</v>
      </c>
      <c r="F334" s="8">
        <v>750000</v>
      </c>
      <c r="G334" s="8"/>
      <c r="I334" s="6" t="s">
        <v>439</v>
      </c>
      <c r="J334" s="6" t="s">
        <v>440</v>
      </c>
    </row>
    <row r="335" spans="1:10" s="6" customFormat="1" ht="244.8" x14ac:dyDescent="0.3">
      <c r="A335" s="6" t="str">
        <f>HYPERLINK("https://grants.gov/search-results-detail/353256","RFA-HL-26-001")</f>
        <v>RFA-HL-26-001</v>
      </c>
      <c r="B335" s="6" t="s">
        <v>1330</v>
      </c>
      <c r="C335" s="6" t="s">
        <v>71</v>
      </c>
      <c r="D335" s="6" t="s">
        <v>72</v>
      </c>
      <c r="E335" s="7">
        <v>45744</v>
      </c>
      <c r="F335" s="8">
        <v>250000</v>
      </c>
      <c r="G335" s="8"/>
      <c r="I335" s="6" t="s">
        <v>1331</v>
      </c>
      <c r="J335" s="6" t="s">
        <v>1332</v>
      </c>
    </row>
    <row r="336" spans="1:10" s="6" customFormat="1" ht="230.4" x14ac:dyDescent="0.3">
      <c r="A336" s="6" t="str">
        <f>HYPERLINK("https://grants.gov/search-results-detail/343241","PAR-23-024")</f>
        <v>PAR-23-024</v>
      </c>
      <c r="B336" s="6" t="s">
        <v>1598</v>
      </c>
      <c r="C336" s="6" t="s">
        <v>71</v>
      </c>
      <c r="D336" s="6" t="s">
        <v>72</v>
      </c>
      <c r="E336" s="7">
        <v>45778</v>
      </c>
      <c r="F336" s="8">
        <v>350000</v>
      </c>
      <c r="G336" s="8"/>
      <c r="I336" s="6" t="s">
        <v>1599</v>
      </c>
      <c r="J336" s="6" t="s">
        <v>1600</v>
      </c>
    </row>
    <row r="337" spans="1:10" s="6" customFormat="1" ht="302.39999999999998" x14ac:dyDescent="0.3">
      <c r="A337" s="6" t="str">
        <f>HYPERLINK("https://grants.gov/search-results-detail/358275","RFA-HL-26-009")</f>
        <v>RFA-HL-26-009</v>
      </c>
      <c r="B337" s="6" t="s">
        <v>232</v>
      </c>
      <c r="C337" s="6" t="s">
        <v>71</v>
      </c>
      <c r="D337" s="6" t="s">
        <v>72</v>
      </c>
      <c r="E337" s="7">
        <v>45779</v>
      </c>
      <c r="F337" s="8">
        <v>2400000</v>
      </c>
      <c r="G337" s="8"/>
      <c r="I337" s="6" t="s">
        <v>233</v>
      </c>
      <c r="J337" s="6" t="s">
        <v>234</v>
      </c>
    </row>
    <row r="338" spans="1:10" s="6" customFormat="1" ht="230.4" x14ac:dyDescent="0.3">
      <c r="A338" s="6" t="str">
        <f>HYPERLINK("https://grants.gov/search-results-detail/358278","RFA-HL-26-010")</f>
        <v>RFA-HL-26-010</v>
      </c>
      <c r="B338" s="6" t="s">
        <v>235</v>
      </c>
      <c r="C338" s="6" t="s">
        <v>71</v>
      </c>
      <c r="D338" s="6" t="s">
        <v>72</v>
      </c>
      <c r="E338" s="7">
        <v>45779</v>
      </c>
      <c r="F338" s="8">
        <v>2000000</v>
      </c>
      <c r="G338" s="8"/>
      <c r="I338" s="6" t="s">
        <v>236</v>
      </c>
      <c r="J338" s="6" t="s">
        <v>237</v>
      </c>
    </row>
    <row r="339" spans="1:10" s="6" customFormat="1" ht="316.8" x14ac:dyDescent="0.3">
      <c r="A339" s="6" t="str">
        <f>HYPERLINK("https://grants.gov/search-results-detail/358280","RFA-HL-26-011")</f>
        <v>RFA-HL-26-011</v>
      </c>
      <c r="B339" s="6" t="s">
        <v>243</v>
      </c>
      <c r="C339" s="6" t="s">
        <v>71</v>
      </c>
      <c r="D339" s="6" t="s">
        <v>72</v>
      </c>
      <c r="E339" s="7">
        <v>45779</v>
      </c>
      <c r="F339" s="8">
        <v>2000</v>
      </c>
      <c r="G339" s="8"/>
      <c r="I339" s="6" t="s">
        <v>244</v>
      </c>
      <c r="J339" s="6" t="s">
        <v>245</v>
      </c>
    </row>
    <row r="340" spans="1:10" s="6" customFormat="1" ht="230.4" x14ac:dyDescent="0.3">
      <c r="A340" s="6" t="str">
        <f>HYPERLINK("https://grants.gov/search-results-detail/357668","RFA-AI-24-080")</f>
        <v>RFA-AI-24-080</v>
      </c>
      <c r="B340" s="6" t="s">
        <v>843</v>
      </c>
      <c r="C340" s="6" t="s">
        <v>71</v>
      </c>
      <c r="D340" s="6" t="s">
        <v>72</v>
      </c>
      <c r="E340" s="7">
        <v>45779</v>
      </c>
      <c r="F340" s="8"/>
      <c r="G340" s="8"/>
      <c r="I340" s="6" t="s">
        <v>844</v>
      </c>
      <c r="J340" s="6" t="s">
        <v>845</v>
      </c>
    </row>
    <row r="341" spans="1:10" s="6" customFormat="1" ht="144" x14ac:dyDescent="0.3">
      <c r="A341" s="6" t="str">
        <f>HYPERLINK("https://grants.gov/search-results-detail/347844","PAR-23-192")</f>
        <v>PAR-23-192</v>
      </c>
      <c r="B341" s="6" t="s">
        <v>1482</v>
      </c>
      <c r="C341" s="6" t="s">
        <v>71</v>
      </c>
      <c r="D341" s="6" t="s">
        <v>72</v>
      </c>
      <c r="E341" s="7">
        <v>45779</v>
      </c>
      <c r="F341" s="8"/>
      <c r="G341" s="8"/>
      <c r="I341" s="6" t="s">
        <v>866</v>
      </c>
      <c r="J341" s="6" t="s">
        <v>1483</v>
      </c>
    </row>
    <row r="342" spans="1:10" s="6" customFormat="1" ht="129.6" x14ac:dyDescent="0.3">
      <c r="A342" s="6" t="str">
        <f>HYPERLINK("https://grants.gov/search-results-detail/346940","PAR-23-128")</f>
        <v>PAR-23-128</v>
      </c>
      <c r="B342" s="6" t="s">
        <v>1482</v>
      </c>
      <c r="C342" s="6" t="s">
        <v>71</v>
      </c>
      <c r="D342" s="6" t="s">
        <v>72</v>
      </c>
      <c r="E342" s="7">
        <v>45779</v>
      </c>
      <c r="F342" s="8"/>
      <c r="G342" s="8"/>
      <c r="I342" s="6" t="s">
        <v>1036</v>
      </c>
      <c r="J342" s="6" t="s">
        <v>1483</v>
      </c>
    </row>
    <row r="343" spans="1:10" s="6" customFormat="1" ht="331.2" x14ac:dyDescent="0.3">
      <c r="A343" s="6" t="str">
        <f>HYPERLINK("https://grants.gov/search-results-detail/336920","RFA-EB-21-001")</f>
        <v>RFA-EB-21-001</v>
      </c>
      <c r="B343" s="6" t="s">
        <v>1665</v>
      </c>
      <c r="C343" s="6" t="s">
        <v>71</v>
      </c>
      <c r="D343" s="6" t="s">
        <v>72</v>
      </c>
      <c r="E343" s="7">
        <v>45779</v>
      </c>
      <c r="F343" s="8">
        <v>500000</v>
      </c>
      <c r="G343" s="8"/>
      <c r="I343" s="6" t="s">
        <v>1649</v>
      </c>
      <c r="J343" s="6" t="s">
        <v>1666</v>
      </c>
    </row>
    <row r="344" spans="1:10" s="6" customFormat="1" ht="158.4" x14ac:dyDescent="0.3">
      <c r="A344" s="6" t="str">
        <f>HYPERLINK("https://grants.gov/search-results-detail/347922","RFA-OD-23-017")</f>
        <v>RFA-OD-23-017</v>
      </c>
      <c r="B344" s="6" t="s">
        <v>1479</v>
      </c>
      <c r="C344" s="6" t="s">
        <v>71</v>
      </c>
      <c r="D344" s="6" t="s">
        <v>72</v>
      </c>
      <c r="E344" s="7">
        <v>45781</v>
      </c>
      <c r="F344" s="8">
        <v>500000</v>
      </c>
      <c r="G344" s="8"/>
      <c r="I344" s="6" t="s">
        <v>1480</v>
      </c>
      <c r="J344" s="6" t="s">
        <v>1481</v>
      </c>
    </row>
    <row r="345" spans="1:10" s="6" customFormat="1" ht="388.8" x14ac:dyDescent="0.3">
      <c r="A345" s="6" t="str">
        <f>HYPERLINK("https://grants.gov/search-results-detail/358095","RFA-AT-25-002")</f>
        <v>RFA-AT-25-002</v>
      </c>
      <c r="B345" s="6" t="s">
        <v>470</v>
      </c>
      <c r="C345" s="6" t="s">
        <v>71</v>
      </c>
      <c r="D345" s="6" t="s">
        <v>72</v>
      </c>
      <c r="E345" s="7">
        <v>45782</v>
      </c>
      <c r="F345" s="8">
        <v>350000</v>
      </c>
      <c r="G345" s="8"/>
      <c r="I345" s="6" t="s">
        <v>471</v>
      </c>
      <c r="J345" s="6" t="s">
        <v>472</v>
      </c>
    </row>
    <row r="346" spans="1:10" s="6" customFormat="1" ht="201.6" x14ac:dyDescent="0.3">
      <c r="A346" s="6" t="str">
        <f>HYPERLINK("https://grants.gov/search-results-detail/358369","PAR-24-300")</f>
        <v>PAR-24-300</v>
      </c>
      <c r="B346" s="6" t="s">
        <v>70</v>
      </c>
      <c r="C346" s="6" t="s">
        <v>71</v>
      </c>
      <c r="D346" s="6" t="s">
        <v>72</v>
      </c>
      <c r="E346" s="7">
        <v>45784</v>
      </c>
      <c r="F346" s="8"/>
      <c r="G346" s="8"/>
      <c r="I346" s="6" t="s">
        <v>73</v>
      </c>
      <c r="J346" s="6" t="s">
        <v>74</v>
      </c>
    </row>
    <row r="347" spans="1:10" s="6" customFormat="1" ht="144" x14ac:dyDescent="0.3">
      <c r="A347" s="6" t="str">
        <f>HYPERLINK("https://grants.gov/search-results-detail/357623","PAR-25-045")</f>
        <v>PAR-25-045</v>
      </c>
      <c r="B347" s="6" t="s">
        <v>865</v>
      </c>
      <c r="C347" s="6" t="s">
        <v>71</v>
      </c>
      <c r="D347" s="6" t="s">
        <v>72</v>
      </c>
      <c r="E347" s="7">
        <v>45784</v>
      </c>
      <c r="F347" s="8"/>
      <c r="G347" s="8"/>
      <c r="I347" s="6" t="s">
        <v>866</v>
      </c>
      <c r="J347" s="6" t="s">
        <v>867</v>
      </c>
    </row>
    <row r="348" spans="1:10" s="6" customFormat="1" ht="201.6" x14ac:dyDescent="0.3">
      <c r="A348" s="6" t="str">
        <f>HYPERLINK("https://grants.gov/search-results-detail/357332","PAR-25-171")</f>
        <v>PAR-25-171</v>
      </c>
      <c r="B348" s="6" t="s">
        <v>1028</v>
      </c>
      <c r="C348" s="6" t="s">
        <v>71</v>
      </c>
      <c r="D348" s="6" t="s">
        <v>72</v>
      </c>
      <c r="E348" s="7">
        <v>45784</v>
      </c>
      <c r="F348" s="8">
        <v>400000</v>
      </c>
      <c r="G348" s="8"/>
      <c r="I348" s="6" t="s">
        <v>866</v>
      </c>
      <c r="J348" s="6" t="s">
        <v>1029</v>
      </c>
    </row>
    <row r="349" spans="1:10" s="6" customFormat="1" ht="230.4" x14ac:dyDescent="0.3">
      <c r="A349" s="6" t="str">
        <f>HYPERLINK("https://grants.gov/search-results-detail/357275","PAR-25-107")</f>
        <v>PAR-25-107</v>
      </c>
      <c r="B349" s="6" t="s">
        <v>1032</v>
      </c>
      <c r="C349" s="6" t="s">
        <v>71</v>
      </c>
      <c r="D349" s="6" t="s">
        <v>72</v>
      </c>
      <c r="E349" s="7">
        <v>45784</v>
      </c>
      <c r="F349" s="8"/>
      <c r="G349" s="8"/>
      <c r="I349" s="6" t="s">
        <v>1033</v>
      </c>
      <c r="J349" s="6" t="s">
        <v>1034</v>
      </c>
    </row>
    <row r="350" spans="1:10" s="6" customFormat="1" ht="144" x14ac:dyDescent="0.3">
      <c r="A350" s="6" t="str">
        <f>HYPERLINK("https://grants.gov/search-results-detail/357191","PA-25-174")</f>
        <v>PA-25-174</v>
      </c>
      <c r="B350" s="6" t="s">
        <v>1076</v>
      </c>
      <c r="C350" s="6" t="s">
        <v>71</v>
      </c>
      <c r="D350" s="6" t="s">
        <v>72</v>
      </c>
      <c r="E350" s="7">
        <v>45784</v>
      </c>
      <c r="F350" s="8"/>
      <c r="G350" s="8"/>
      <c r="I350" s="6" t="s">
        <v>1077</v>
      </c>
      <c r="J350" s="6" t="s">
        <v>1078</v>
      </c>
    </row>
    <row r="351" spans="1:10" s="6" customFormat="1" ht="129.6" x14ac:dyDescent="0.3">
      <c r="A351" s="6" t="str">
        <f>HYPERLINK("https://grants.gov/search-results-detail/357190","PA-25-173")</f>
        <v>PA-25-173</v>
      </c>
      <c r="B351" s="6" t="s">
        <v>1079</v>
      </c>
      <c r="C351" s="6" t="s">
        <v>71</v>
      </c>
      <c r="D351" s="6" t="s">
        <v>72</v>
      </c>
      <c r="E351" s="7">
        <v>45784</v>
      </c>
      <c r="F351" s="8"/>
      <c r="G351" s="8"/>
      <c r="I351" s="6" t="s">
        <v>869</v>
      </c>
      <c r="J351" s="6" t="s">
        <v>1080</v>
      </c>
    </row>
    <row r="352" spans="1:10" s="6" customFormat="1" ht="316.8" x14ac:dyDescent="0.3">
      <c r="A352" s="6" t="str">
        <f>HYPERLINK("https://grants.gov/search-results-detail/357071","PAR-25-108")</f>
        <v>PAR-25-108</v>
      </c>
      <c r="B352" s="6" t="s">
        <v>1105</v>
      </c>
      <c r="C352" s="6" t="s">
        <v>71</v>
      </c>
      <c r="D352" s="6" t="s">
        <v>72</v>
      </c>
      <c r="E352" s="7">
        <v>45784</v>
      </c>
      <c r="F352" s="8"/>
      <c r="G352" s="8"/>
      <c r="I352" s="6" t="s">
        <v>903</v>
      </c>
      <c r="J352" s="6" t="s">
        <v>1106</v>
      </c>
    </row>
    <row r="353" spans="1:10" s="6" customFormat="1" ht="144" x14ac:dyDescent="0.3">
      <c r="A353" s="6" t="str">
        <f>HYPERLINK("https://grants.gov/search-results-detail/356686","PA-25-121")</f>
        <v>PA-25-121</v>
      </c>
      <c r="B353" s="6" t="s">
        <v>1170</v>
      </c>
      <c r="C353" s="6" t="s">
        <v>71</v>
      </c>
      <c r="D353" s="6" t="s">
        <v>72</v>
      </c>
      <c r="E353" s="7">
        <v>45784</v>
      </c>
      <c r="F353" s="8"/>
      <c r="G353" s="8"/>
      <c r="I353" s="6" t="s">
        <v>1171</v>
      </c>
      <c r="J353" s="6" t="s">
        <v>1172</v>
      </c>
    </row>
    <row r="354" spans="1:10" s="6" customFormat="1" ht="129.6" x14ac:dyDescent="0.3">
      <c r="A354" s="6" t="str">
        <f>HYPERLINK("https://grants.gov/search-results-detail/356687","PA-25-123")</f>
        <v>PA-25-123</v>
      </c>
      <c r="B354" s="6" t="s">
        <v>1176</v>
      </c>
      <c r="C354" s="6" t="s">
        <v>71</v>
      </c>
      <c r="D354" s="6" t="s">
        <v>72</v>
      </c>
      <c r="E354" s="7">
        <v>45784</v>
      </c>
      <c r="F354" s="8"/>
      <c r="G354" s="8"/>
      <c r="I354" s="6" t="s">
        <v>1033</v>
      </c>
      <c r="J354" s="6" t="s">
        <v>1172</v>
      </c>
    </row>
    <row r="355" spans="1:10" s="6" customFormat="1" ht="201.6" x14ac:dyDescent="0.3">
      <c r="A355" s="6" t="str">
        <f>HYPERLINK("https://grants.gov/search-results-detail/356515","PAR-24-299")</f>
        <v>PAR-24-299</v>
      </c>
      <c r="B355" s="6" t="s">
        <v>1211</v>
      </c>
      <c r="C355" s="6" t="s">
        <v>71</v>
      </c>
      <c r="D355" s="6" t="s">
        <v>72</v>
      </c>
      <c r="E355" s="7">
        <v>45784</v>
      </c>
      <c r="F355" s="8"/>
      <c r="G355" s="8"/>
      <c r="I355" s="6" t="s">
        <v>1033</v>
      </c>
      <c r="J355" s="6" t="s">
        <v>1212</v>
      </c>
    </row>
    <row r="356" spans="1:10" s="6" customFormat="1" ht="230.4" x14ac:dyDescent="0.3">
      <c r="A356" s="6" t="str">
        <f>HYPERLINK("https://grants.gov/search-results-detail/343420","PAR-22-231")</f>
        <v>PAR-22-231</v>
      </c>
      <c r="B356" s="6" t="s">
        <v>1589</v>
      </c>
      <c r="C356" s="6" t="s">
        <v>71</v>
      </c>
      <c r="D356" s="6" t="s">
        <v>72</v>
      </c>
      <c r="E356" s="7">
        <v>45784</v>
      </c>
      <c r="F356" s="8"/>
      <c r="G356" s="8"/>
      <c r="I356" s="6" t="s">
        <v>1590</v>
      </c>
      <c r="J356" s="6" t="s">
        <v>1591</v>
      </c>
    </row>
    <row r="357" spans="1:10" s="6" customFormat="1" ht="230.4" x14ac:dyDescent="0.3">
      <c r="A357" s="6" t="str">
        <f>HYPERLINK("https://grants.gov/search-results-detail/343429","PAR-22-230")</f>
        <v>PAR-22-230</v>
      </c>
      <c r="B357" s="6" t="s">
        <v>1592</v>
      </c>
      <c r="C357" s="6" t="s">
        <v>71</v>
      </c>
      <c r="D357" s="6" t="s">
        <v>72</v>
      </c>
      <c r="E357" s="7">
        <v>45784</v>
      </c>
      <c r="F357" s="8"/>
      <c r="G357" s="8"/>
      <c r="I357" s="6" t="s">
        <v>1593</v>
      </c>
      <c r="J357" s="6" t="s">
        <v>1594</v>
      </c>
    </row>
    <row r="358" spans="1:10" s="6" customFormat="1" ht="187.2" x14ac:dyDescent="0.3">
      <c r="A358" s="6" t="str">
        <f>HYPERLINK("https://grants.gov/search-results-detail/340676","PAR-22-172")</f>
        <v>PAR-22-172</v>
      </c>
      <c r="B358" s="6" t="s">
        <v>1622</v>
      </c>
      <c r="C358" s="6" t="s">
        <v>71</v>
      </c>
      <c r="D358" s="6" t="s">
        <v>72</v>
      </c>
      <c r="E358" s="7">
        <v>45784</v>
      </c>
      <c r="F358" s="8"/>
      <c r="G358" s="8"/>
      <c r="I358" s="6" t="s">
        <v>1623</v>
      </c>
      <c r="J358" s="6" t="s">
        <v>1624</v>
      </c>
    </row>
    <row r="359" spans="1:10" s="6" customFormat="1" ht="230.4" x14ac:dyDescent="0.3">
      <c r="A359" s="6" t="str">
        <f>HYPERLINK("https://grants.gov/search-results-detail/340197","PAR-22-121")</f>
        <v>PAR-22-121</v>
      </c>
      <c r="B359" s="6" t="s">
        <v>1633</v>
      </c>
      <c r="C359" s="6" t="s">
        <v>71</v>
      </c>
      <c r="D359" s="6" t="s">
        <v>72</v>
      </c>
      <c r="E359" s="7">
        <v>45784</v>
      </c>
      <c r="F359" s="8"/>
      <c r="G359" s="8"/>
      <c r="I359" s="6" t="s">
        <v>1634</v>
      </c>
      <c r="J359" s="6" t="s">
        <v>1635</v>
      </c>
    </row>
    <row r="360" spans="1:10" s="6" customFormat="1" ht="129.6" x14ac:dyDescent="0.3">
      <c r="A360" s="6" t="str">
        <f>HYPERLINK("https://grants.gov/search-results-detail/339409","PAR-22-149")</f>
        <v>PAR-22-149</v>
      </c>
      <c r="B360" s="6" t="s">
        <v>1641</v>
      </c>
      <c r="C360" s="6" t="s">
        <v>71</v>
      </c>
      <c r="D360" s="6" t="s">
        <v>72</v>
      </c>
      <c r="E360" s="7">
        <v>45784</v>
      </c>
      <c r="F360" s="8"/>
      <c r="G360" s="8"/>
      <c r="I360" s="6" t="s">
        <v>1642</v>
      </c>
      <c r="J360" s="6" t="s">
        <v>1643</v>
      </c>
    </row>
    <row r="361" spans="1:10" s="6" customFormat="1" ht="172.8" x14ac:dyDescent="0.3">
      <c r="A361" s="6" t="str">
        <f>HYPERLINK("https://grants.gov/search-results-detail/339020","PAR-22-145")</f>
        <v>PAR-22-145</v>
      </c>
      <c r="B361" s="6" t="s">
        <v>1648</v>
      </c>
      <c r="C361" s="6" t="s">
        <v>71</v>
      </c>
      <c r="D361" s="6" t="s">
        <v>72</v>
      </c>
      <c r="E361" s="7">
        <v>45784</v>
      </c>
      <c r="F361" s="8"/>
      <c r="G361" s="8"/>
      <c r="I361" s="6" t="s">
        <v>1649</v>
      </c>
      <c r="J361" s="6" t="s">
        <v>1650</v>
      </c>
    </row>
    <row r="362" spans="1:10" s="6" customFormat="1" ht="187.2" x14ac:dyDescent="0.3">
      <c r="A362" s="6" t="str">
        <f>HYPERLINK("https://grants.gov/search-results-detail/336829","PAS-22-074")</f>
        <v>PAS-22-074</v>
      </c>
      <c r="B362" s="6" t="s">
        <v>1667</v>
      </c>
      <c r="C362" s="6" t="s">
        <v>71</v>
      </c>
      <c r="D362" s="6" t="s">
        <v>72</v>
      </c>
      <c r="E362" s="7">
        <v>45784</v>
      </c>
      <c r="F362" s="8"/>
      <c r="G362" s="8"/>
      <c r="I362" s="6" t="s">
        <v>1668</v>
      </c>
      <c r="J362" s="6" t="s">
        <v>1669</v>
      </c>
    </row>
    <row r="363" spans="1:10" s="6" customFormat="1" ht="230.4" x14ac:dyDescent="0.3">
      <c r="A363" s="6" t="str">
        <f>HYPERLINK("https://grants.gov/search-results-detail/347398","PAR-23-171")</f>
        <v>PAR-23-171</v>
      </c>
      <c r="B363" s="6" t="s">
        <v>1506</v>
      </c>
      <c r="C363" s="6" t="s">
        <v>71</v>
      </c>
      <c r="D363" s="6" t="s">
        <v>72</v>
      </c>
      <c r="E363" s="7">
        <v>45792</v>
      </c>
      <c r="F363" s="8"/>
      <c r="G363" s="8"/>
      <c r="I363" s="6" t="s">
        <v>1507</v>
      </c>
      <c r="J363" s="6" t="s">
        <v>1508</v>
      </c>
    </row>
    <row r="364" spans="1:10" s="6" customFormat="1" ht="86.4" x14ac:dyDescent="0.3">
      <c r="A364" s="6" t="str">
        <f>HYPERLINK("https://grants.gov/search-results-detail/357886","SM-25-014")</f>
        <v>SM-25-014</v>
      </c>
      <c r="B364" s="6" t="s">
        <v>668</v>
      </c>
      <c r="C364" s="6" t="s">
        <v>117</v>
      </c>
      <c r="D364" s="6" t="s">
        <v>118</v>
      </c>
      <c r="E364" s="7">
        <v>45706</v>
      </c>
      <c r="F364" s="8">
        <v>2500000</v>
      </c>
      <c r="G364" s="8">
        <v>0</v>
      </c>
      <c r="H364" s="6">
        <v>1</v>
      </c>
      <c r="I364" s="6" t="s">
        <v>669</v>
      </c>
      <c r="J364" s="6" t="s">
        <v>670</v>
      </c>
    </row>
    <row r="365" spans="1:10" s="6" customFormat="1" ht="115.2" x14ac:dyDescent="0.3">
      <c r="A365" s="6" t="str">
        <f>HYPERLINK("https://grants.gov/search-results-detail/355932","SP-25-001")</f>
        <v>SP-25-001</v>
      </c>
      <c r="B365" s="6" t="s">
        <v>246</v>
      </c>
      <c r="C365" s="6" t="s">
        <v>117</v>
      </c>
      <c r="D365" s="6" t="s">
        <v>118</v>
      </c>
      <c r="E365" s="7">
        <v>45733</v>
      </c>
      <c r="F365" s="8">
        <v>60000</v>
      </c>
      <c r="G365" s="8">
        <v>0</v>
      </c>
      <c r="H365" s="6">
        <v>13</v>
      </c>
      <c r="I365" s="6" t="s">
        <v>247</v>
      </c>
      <c r="J365" s="6" t="s">
        <v>248</v>
      </c>
    </row>
    <row r="366" spans="1:10" s="6" customFormat="1" ht="100.8" x14ac:dyDescent="0.3">
      <c r="A366" s="6" t="str">
        <f>HYPERLINK("https://grants.gov/search-results-detail/355920","SM-25-004")</f>
        <v>SM-25-004</v>
      </c>
      <c r="B366" s="6" t="s">
        <v>358</v>
      </c>
      <c r="C366" s="6" t="s">
        <v>117</v>
      </c>
      <c r="D366" s="6" t="s">
        <v>118</v>
      </c>
      <c r="E366" s="7">
        <v>45733</v>
      </c>
      <c r="F366" s="8">
        <v>120000</v>
      </c>
      <c r="G366" s="8">
        <v>0</v>
      </c>
      <c r="H366" s="6">
        <v>9</v>
      </c>
      <c r="I366" s="6" t="s">
        <v>359</v>
      </c>
      <c r="J366" s="6" t="s">
        <v>360</v>
      </c>
    </row>
    <row r="367" spans="1:10" s="6" customFormat="1" ht="115.2" x14ac:dyDescent="0.3">
      <c r="A367" s="6" t="str">
        <f>HYPERLINK("https://grants.gov/search-results-detail/357620","SM-25-016")</f>
        <v>SM-25-016</v>
      </c>
      <c r="B367" s="6" t="s">
        <v>361</v>
      </c>
      <c r="C367" s="6" t="s">
        <v>117</v>
      </c>
      <c r="D367" s="6" t="s">
        <v>118</v>
      </c>
      <c r="E367" s="7">
        <v>45733</v>
      </c>
      <c r="F367" s="8">
        <v>350000</v>
      </c>
      <c r="G367" s="8">
        <v>0</v>
      </c>
      <c r="H367" s="6">
        <v>8</v>
      </c>
      <c r="I367" s="6" t="s">
        <v>362</v>
      </c>
      <c r="J367" s="6" t="s">
        <v>363</v>
      </c>
    </row>
    <row r="368" spans="1:10" s="6" customFormat="1" ht="158.4" x14ac:dyDescent="0.3">
      <c r="A368" s="6" t="str">
        <f>HYPERLINK("https://grants.gov/search-results-detail/355934","SP-25-003")</f>
        <v>SP-25-003</v>
      </c>
      <c r="B368" s="6" t="s">
        <v>116</v>
      </c>
      <c r="C368" s="6" t="s">
        <v>117</v>
      </c>
      <c r="D368" s="6" t="s">
        <v>118</v>
      </c>
      <c r="E368" s="7">
        <v>45734</v>
      </c>
      <c r="F368" s="8">
        <v>2000000</v>
      </c>
      <c r="G368" s="8">
        <v>0</v>
      </c>
      <c r="H368" s="6">
        <v>6</v>
      </c>
      <c r="I368" s="6" t="s">
        <v>119</v>
      </c>
      <c r="J368" s="6" t="s">
        <v>120</v>
      </c>
    </row>
    <row r="369" spans="1:10" s="6" customFormat="1" ht="144" x14ac:dyDescent="0.3">
      <c r="A369" s="6" t="str">
        <f>HYPERLINK("https://grants.gov/search-results-detail/355933","SP-25-002")</f>
        <v>SP-25-002</v>
      </c>
      <c r="B369" s="6" t="s">
        <v>121</v>
      </c>
      <c r="C369" s="6" t="s">
        <v>117</v>
      </c>
      <c r="D369" s="6" t="s">
        <v>118</v>
      </c>
      <c r="E369" s="7">
        <v>45734</v>
      </c>
      <c r="F369" s="8">
        <v>600000</v>
      </c>
      <c r="G369" s="8">
        <v>0</v>
      </c>
      <c r="H369" s="6">
        <v>52</v>
      </c>
      <c r="I369" s="6" t="s">
        <v>122</v>
      </c>
      <c r="J369" s="6" t="s">
        <v>123</v>
      </c>
    </row>
    <row r="370" spans="1:10" s="6" customFormat="1" ht="72" x14ac:dyDescent="0.3">
      <c r="A370" s="6" t="str">
        <f>HYPERLINK("https://grants.gov/search-results-detail/355178","NLG-LIBRARIES-FY25")</f>
        <v>NLG-LIBRARIES-FY25</v>
      </c>
      <c r="B370" s="6" t="s">
        <v>1273</v>
      </c>
      <c r="C370" s="6" t="s">
        <v>422</v>
      </c>
      <c r="D370" s="6" t="s">
        <v>423</v>
      </c>
      <c r="E370" s="7">
        <v>45726</v>
      </c>
      <c r="F370" s="8">
        <v>1000000</v>
      </c>
      <c r="G370" s="8">
        <v>25000</v>
      </c>
      <c r="H370" s="6">
        <v>45</v>
      </c>
      <c r="I370" s="6" t="s">
        <v>1274</v>
      </c>
      <c r="J370" s="6" t="s">
        <v>1275</v>
      </c>
    </row>
    <row r="371" spans="1:10" s="6" customFormat="1" ht="86.4" x14ac:dyDescent="0.3">
      <c r="A371" s="6" t="str">
        <f>HYPERLINK("https://grants.gov/search-results-detail/355176","LB21-FY25")</f>
        <v>LB21-FY25</v>
      </c>
      <c r="B371" s="6" t="s">
        <v>1276</v>
      </c>
      <c r="C371" s="6" t="s">
        <v>422</v>
      </c>
      <c r="D371" s="6" t="s">
        <v>423</v>
      </c>
      <c r="E371" s="7">
        <v>45726</v>
      </c>
      <c r="F371" s="8">
        <v>1000000</v>
      </c>
      <c r="G371" s="8">
        <v>25000</v>
      </c>
      <c r="H371" s="6">
        <v>45</v>
      </c>
      <c r="I371" s="6" t="s">
        <v>1274</v>
      </c>
      <c r="J371" s="6" t="s">
        <v>1277</v>
      </c>
    </row>
    <row r="372" spans="1:10" s="6" customFormat="1" ht="259.2" x14ac:dyDescent="0.3">
      <c r="A372" s="6" t="str">
        <f>HYPERLINK("https://grants.gov/search-results-detail/357607","NAG-HAWAIIAN-FY25")</f>
        <v>NAG-HAWAIIAN-FY25</v>
      </c>
      <c r="B372" s="6" t="s">
        <v>421</v>
      </c>
      <c r="C372" s="6" t="s">
        <v>422</v>
      </c>
      <c r="D372" s="6" t="s">
        <v>423</v>
      </c>
      <c r="E372" s="7">
        <v>45748</v>
      </c>
      <c r="F372" s="8">
        <v>150000</v>
      </c>
      <c r="G372" s="8">
        <v>50000</v>
      </c>
      <c r="H372" s="6">
        <v>5</v>
      </c>
      <c r="I372" s="6" t="s">
        <v>424</v>
      </c>
      <c r="J372" s="6" t="s">
        <v>425</v>
      </c>
    </row>
    <row r="373" spans="1:10" s="6" customFormat="1" ht="43.2" x14ac:dyDescent="0.3">
      <c r="A373" s="6" t="str">
        <f>HYPERLINK("https://grants.gov/search-results-detail/350750","TEST-PTS-UTF-8")</f>
        <v>TEST-PTS-UTF-8</v>
      </c>
      <c r="B373" s="6" t="s">
        <v>1434</v>
      </c>
      <c r="C373" s="6" t="s">
        <v>1435</v>
      </c>
      <c r="D373" s="6" t="s">
        <v>1436</v>
      </c>
      <c r="F373" s="8">
        <v>2</v>
      </c>
      <c r="G373" s="8">
        <v>1</v>
      </c>
      <c r="I373" s="6" t="s">
        <v>1437</v>
      </c>
      <c r="J373" s="6" t="s">
        <v>1438</v>
      </c>
    </row>
    <row r="374" spans="1:10" s="6" customFormat="1" ht="86.4" x14ac:dyDescent="0.3">
      <c r="A374" s="6" t="str">
        <f>HYPERLINK("https://grants.gov/search-results-detail/357399","STATE-202505")</f>
        <v>STATE-202505</v>
      </c>
      <c r="B374" s="6" t="s">
        <v>990</v>
      </c>
      <c r="C374" s="6" t="s">
        <v>991</v>
      </c>
      <c r="D374" s="6" t="s">
        <v>992</v>
      </c>
      <c r="E374" s="7">
        <v>45784</v>
      </c>
      <c r="F374" s="8">
        <v>125000</v>
      </c>
      <c r="G374" s="8">
        <v>25000</v>
      </c>
      <c r="H374" s="6">
        <v>20</v>
      </c>
      <c r="I374" s="6" t="s">
        <v>507</v>
      </c>
      <c r="J374" s="6" t="s">
        <v>993</v>
      </c>
    </row>
    <row r="375" spans="1:10" s="6" customFormat="1" ht="144" x14ac:dyDescent="0.3">
      <c r="A375" s="6" t="str">
        <f>HYPERLINK("https://grants.gov/search-results-detail/357401","ARCHIVAL-202505")</f>
        <v>ARCHIVAL-202505</v>
      </c>
      <c r="B375" s="6" t="s">
        <v>994</v>
      </c>
      <c r="C375" s="6" t="s">
        <v>991</v>
      </c>
      <c r="D375" s="6" t="s">
        <v>992</v>
      </c>
      <c r="E375" s="7">
        <v>45784</v>
      </c>
      <c r="F375" s="8">
        <v>150000</v>
      </c>
      <c r="G375" s="8">
        <v>1</v>
      </c>
      <c r="H375" s="6">
        <v>14</v>
      </c>
      <c r="I375" s="6" t="s">
        <v>37</v>
      </c>
      <c r="J375" s="6" t="s">
        <v>995</v>
      </c>
    </row>
    <row r="376" spans="1:10" s="6" customFormat="1" ht="100.8" x14ac:dyDescent="0.3">
      <c r="A376" s="6" t="str">
        <f>HYPERLINK("https://grants.gov/search-results-detail/357400","COLLABORATIVES-202505")</f>
        <v>COLLABORATIVES-202505</v>
      </c>
      <c r="B376" s="6" t="s">
        <v>1000</v>
      </c>
      <c r="C376" s="6" t="s">
        <v>991</v>
      </c>
      <c r="D376" s="6" t="s">
        <v>992</v>
      </c>
      <c r="E376" s="7">
        <v>45784</v>
      </c>
      <c r="F376" s="8">
        <v>120000</v>
      </c>
      <c r="G376" s="8">
        <v>1</v>
      </c>
      <c r="H376" s="6">
        <v>10</v>
      </c>
      <c r="I376" s="6" t="s">
        <v>1001</v>
      </c>
      <c r="J376" s="6" t="s">
        <v>1002</v>
      </c>
    </row>
    <row r="377" spans="1:10" s="6" customFormat="1" ht="230.4" x14ac:dyDescent="0.3">
      <c r="A377" s="6" t="str">
        <f>HYPERLINK("https://grants.gov/search-results-detail/357393","EDITIONS-202505")</f>
        <v>EDITIONS-202505</v>
      </c>
      <c r="B377" s="6" t="s">
        <v>1003</v>
      </c>
      <c r="C377" s="6" t="s">
        <v>991</v>
      </c>
      <c r="D377" s="6" t="s">
        <v>992</v>
      </c>
      <c r="E377" s="7">
        <v>45784</v>
      </c>
      <c r="F377" s="8">
        <v>125000</v>
      </c>
      <c r="G377" s="8">
        <v>1</v>
      </c>
      <c r="H377" s="6">
        <v>21</v>
      </c>
      <c r="I377" s="6" t="s">
        <v>1001</v>
      </c>
      <c r="J377" s="6" t="s">
        <v>1004</v>
      </c>
    </row>
    <row r="378" spans="1:10" s="6" customFormat="1" ht="216" x14ac:dyDescent="0.3">
      <c r="A378" s="6" t="str">
        <f>HYPERLINK("https://grants.gov/search-results-detail/357111","NNH24ZHA003C-EPSCORR3")</f>
        <v>NNH24ZHA003C-EPSCORR3</v>
      </c>
      <c r="B378" s="6" t="s">
        <v>1084</v>
      </c>
      <c r="C378" s="6" t="s">
        <v>919</v>
      </c>
      <c r="D378" s="6" t="s">
        <v>920</v>
      </c>
      <c r="E378" s="7">
        <v>45714</v>
      </c>
      <c r="F378" s="8">
        <v>125000</v>
      </c>
      <c r="G378" s="8">
        <v>0</v>
      </c>
      <c r="H378" s="6">
        <v>30</v>
      </c>
      <c r="I378" s="6" t="s">
        <v>1085</v>
      </c>
      <c r="J378" s="6" t="s">
        <v>1086</v>
      </c>
    </row>
    <row r="379" spans="1:10" s="6" customFormat="1" ht="273.60000000000002" x14ac:dyDescent="0.3">
      <c r="A379" s="6" t="str">
        <f>HYPERLINK("https://grants.gov/search-results-detail/357538","NNH24ZHA003C-ACEIR")</f>
        <v>NNH24ZHA003C-ACEIR</v>
      </c>
      <c r="B379" s="6" t="s">
        <v>918</v>
      </c>
      <c r="C379" s="6" t="s">
        <v>919</v>
      </c>
      <c r="D379" s="6" t="s">
        <v>920</v>
      </c>
      <c r="E379" s="7">
        <v>45719</v>
      </c>
      <c r="F379" s="8">
        <v>750000</v>
      </c>
      <c r="G379" s="8">
        <v>0</v>
      </c>
      <c r="H379" s="6">
        <v>7</v>
      </c>
      <c r="I379" s="6" t="s">
        <v>921</v>
      </c>
      <c r="J379" s="6" t="s">
        <v>922</v>
      </c>
    </row>
    <row r="380" spans="1:10" s="6" customFormat="1" ht="409.6" x14ac:dyDescent="0.3">
      <c r="A380" s="6" t="str">
        <f>HYPERLINK("https://grants.gov/search-results-detail/318918","NNH19ZHA001C")</f>
        <v>NNH19ZHA001C</v>
      </c>
      <c r="B380" s="6" t="s">
        <v>1819</v>
      </c>
      <c r="C380" s="6" t="s">
        <v>919</v>
      </c>
      <c r="D380" s="6" t="s">
        <v>920</v>
      </c>
      <c r="F380" s="8">
        <v>700000</v>
      </c>
      <c r="G380" s="8">
        <v>0</v>
      </c>
      <c r="H380" s="6">
        <v>52</v>
      </c>
      <c r="I380" s="6" t="s">
        <v>1820</v>
      </c>
      <c r="J380" s="6" t="s">
        <v>1821</v>
      </c>
    </row>
    <row r="381" spans="1:10" s="6" customFormat="1" ht="409.6" x14ac:dyDescent="0.3">
      <c r="A381" s="6" t="str">
        <f>HYPERLINK("https://grants.gov/search-results-detail/300997","NNH18ZHA002N-MUSIC")</f>
        <v>NNH18ZHA002N-MUSIC</v>
      </c>
      <c r="B381" s="6" t="s">
        <v>1869</v>
      </c>
      <c r="C381" s="6" t="s">
        <v>919</v>
      </c>
      <c r="D381" s="6" t="s">
        <v>920</v>
      </c>
      <c r="F381" s="8">
        <v>450000</v>
      </c>
      <c r="G381" s="8">
        <v>0</v>
      </c>
      <c r="H381" s="6">
        <v>3</v>
      </c>
      <c r="I381" s="6" t="s">
        <v>1870</v>
      </c>
      <c r="J381" s="6" t="s">
        <v>1871</v>
      </c>
    </row>
    <row r="382" spans="1:10" s="6" customFormat="1" ht="409.6" x14ac:dyDescent="0.3">
      <c r="A382" s="6" t="str">
        <f>HYPERLINK("https://grants.gov/search-results-detail/355560","NNH24ZDA001N-ICAR")</f>
        <v>NNH24ZDA001N-ICAR</v>
      </c>
      <c r="B382" s="6" t="s">
        <v>1266</v>
      </c>
      <c r="C382" s="6" t="s">
        <v>679</v>
      </c>
      <c r="D382" s="6" t="s">
        <v>680</v>
      </c>
      <c r="E382" s="7">
        <v>45706</v>
      </c>
      <c r="F382" s="8"/>
      <c r="G382" s="8"/>
      <c r="I382" s="6" t="s">
        <v>681</v>
      </c>
      <c r="J382" s="6" t="s">
        <v>1267</v>
      </c>
    </row>
    <row r="383" spans="1:10" s="6" customFormat="1" ht="409.6" x14ac:dyDescent="0.3">
      <c r="A383" s="6" t="str">
        <f>HYPERLINK("https://grants.gov/search-results-detail/356427","NNH24ZDA001N-CARBON")</f>
        <v>NNH24ZDA001N-CARBON</v>
      </c>
      <c r="B383" s="6" t="s">
        <v>1224</v>
      </c>
      <c r="C383" s="6" t="s">
        <v>679</v>
      </c>
      <c r="D383" s="6" t="s">
        <v>680</v>
      </c>
      <c r="E383" s="7">
        <v>45707</v>
      </c>
      <c r="F383" s="8"/>
      <c r="G383" s="8"/>
      <c r="I383" s="6" t="s">
        <v>681</v>
      </c>
      <c r="J383" s="6" t="s">
        <v>1225</v>
      </c>
    </row>
    <row r="384" spans="1:10" s="6" customFormat="1" ht="409.6" x14ac:dyDescent="0.3">
      <c r="A384" s="6" t="str">
        <f>HYPERLINK("https://grants.gov/search-results-detail/356721","NNH24ZDA001N-USCAPS")</f>
        <v>NNH24ZDA001N-USCAPS</v>
      </c>
      <c r="B384" s="6" t="s">
        <v>1165</v>
      </c>
      <c r="C384" s="6" t="s">
        <v>679</v>
      </c>
      <c r="D384" s="6" t="s">
        <v>680</v>
      </c>
      <c r="E384" s="7">
        <v>45708</v>
      </c>
      <c r="F384" s="8"/>
      <c r="G384" s="8"/>
      <c r="I384" s="6" t="s">
        <v>681</v>
      </c>
      <c r="J384" s="6" t="s">
        <v>1166</v>
      </c>
    </row>
    <row r="385" spans="1:10" s="6" customFormat="1" ht="409.6" x14ac:dyDescent="0.3">
      <c r="A385" s="6" t="str">
        <f>HYPERLINK("https://grants.gov/search-results-detail/352419","NNH24ZDA001N-SAT")</f>
        <v>NNH24ZDA001N-SAT</v>
      </c>
      <c r="B385" s="6" t="s">
        <v>1388</v>
      </c>
      <c r="C385" s="6" t="s">
        <v>679</v>
      </c>
      <c r="D385" s="6" t="s">
        <v>680</v>
      </c>
      <c r="E385" s="7">
        <v>45709</v>
      </c>
      <c r="F385" s="8"/>
      <c r="G385" s="8"/>
      <c r="I385" s="6" t="s">
        <v>681</v>
      </c>
      <c r="J385" s="6" t="s">
        <v>1389</v>
      </c>
    </row>
    <row r="386" spans="1:10" s="6" customFormat="1" ht="409.6" x14ac:dyDescent="0.3">
      <c r="A386" s="6" t="str">
        <f>HYPERLINK("https://grants.gov/search-results-detail/352420","NNH24ZDA001N-RTF")</f>
        <v>NNH24ZDA001N-RTF</v>
      </c>
      <c r="B386" s="6" t="s">
        <v>1390</v>
      </c>
      <c r="C386" s="6" t="s">
        <v>679</v>
      </c>
      <c r="D386" s="6" t="s">
        <v>680</v>
      </c>
      <c r="E386" s="7">
        <v>45709</v>
      </c>
      <c r="F386" s="8"/>
      <c r="G386" s="8"/>
      <c r="I386" s="6" t="s">
        <v>681</v>
      </c>
      <c r="J386" s="6" t="s">
        <v>1391</v>
      </c>
    </row>
    <row r="387" spans="1:10" s="6" customFormat="1" ht="409.6" x14ac:dyDescent="0.3">
      <c r="A387" s="6" t="str">
        <f>HYPERLINK("https://grants.gov/search-results-detail/352418","NNH24ZDA001N-APRA")</f>
        <v>NNH24ZDA001N-APRA</v>
      </c>
      <c r="B387" s="6" t="s">
        <v>1392</v>
      </c>
      <c r="C387" s="6" t="s">
        <v>679</v>
      </c>
      <c r="D387" s="6" t="s">
        <v>680</v>
      </c>
      <c r="E387" s="7">
        <v>45709</v>
      </c>
      <c r="F387" s="8"/>
      <c r="G387" s="8"/>
      <c r="I387" s="6" t="s">
        <v>681</v>
      </c>
      <c r="J387" s="6" t="s">
        <v>1393</v>
      </c>
    </row>
    <row r="388" spans="1:10" s="6" customFormat="1" ht="409.6" x14ac:dyDescent="0.3">
      <c r="A388" s="6" t="str">
        <f>HYPERLINK("https://grants.gov/search-results-detail/357835","NNH24ZDA001N-SBR")</f>
        <v>NNH24ZDA001N-SBR</v>
      </c>
      <c r="B388" s="6" t="s">
        <v>710</v>
      </c>
      <c r="C388" s="6" t="s">
        <v>679</v>
      </c>
      <c r="D388" s="6" t="s">
        <v>680</v>
      </c>
      <c r="E388" s="7">
        <v>45713</v>
      </c>
      <c r="F388" s="8"/>
      <c r="G388" s="8"/>
      <c r="I388" s="6" t="s">
        <v>681</v>
      </c>
      <c r="J388" s="6" t="s">
        <v>711</v>
      </c>
    </row>
    <row r="389" spans="1:10" s="6" customFormat="1" ht="409.6" x14ac:dyDescent="0.3">
      <c r="A389" s="6" t="str">
        <f>HYPERLINK("https://grants.gov/search-results-detail/357834","NNH24ZDA001N-PSRS")</f>
        <v>NNH24ZDA001N-PSRS</v>
      </c>
      <c r="B389" s="6" t="s">
        <v>712</v>
      </c>
      <c r="C389" s="6" t="s">
        <v>679</v>
      </c>
      <c r="D389" s="6" t="s">
        <v>680</v>
      </c>
      <c r="E389" s="7">
        <v>45713</v>
      </c>
      <c r="F389" s="8"/>
      <c r="G389" s="8"/>
      <c r="I389" s="6" t="s">
        <v>681</v>
      </c>
      <c r="J389" s="6" t="s">
        <v>713</v>
      </c>
    </row>
    <row r="390" spans="1:10" s="6" customFormat="1" ht="409.6" x14ac:dyDescent="0.3">
      <c r="A390" s="6" t="str">
        <f>HYPERLINK("https://grants.gov/search-results-detail/356976","NNH24ZDA001N-FINESST")</f>
        <v>NNH24ZDA001N-FINESST</v>
      </c>
      <c r="B390" s="6" t="s">
        <v>1123</v>
      </c>
      <c r="C390" s="6" t="s">
        <v>679</v>
      </c>
      <c r="D390" s="6" t="s">
        <v>680</v>
      </c>
      <c r="E390" s="7">
        <v>45714</v>
      </c>
      <c r="F390" s="8"/>
      <c r="G390" s="8"/>
      <c r="I390" s="6" t="s">
        <v>681</v>
      </c>
      <c r="J390" s="6" t="s">
        <v>1124</v>
      </c>
    </row>
    <row r="391" spans="1:10" s="6" customFormat="1" ht="409.6" x14ac:dyDescent="0.3">
      <c r="A391" s="6" t="str">
        <f>HYPERLINK("https://grants.gov/search-results-detail/352414","NNH24ZDA001N-HTM")</f>
        <v>NNH24ZDA001N-HTM</v>
      </c>
      <c r="B391" s="6" t="s">
        <v>1386</v>
      </c>
      <c r="C391" s="6" t="s">
        <v>679</v>
      </c>
      <c r="D391" s="6" t="s">
        <v>680</v>
      </c>
      <c r="E391" s="7">
        <v>45715</v>
      </c>
      <c r="F391" s="8"/>
      <c r="G391" s="8"/>
      <c r="I391" s="6" t="s">
        <v>681</v>
      </c>
      <c r="J391" s="6" t="s">
        <v>1387</v>
      </c>
    </row>
    <row r="392" spans="1:10" s="6" customFormat="1" ht="409.6" x14ac:dyDescent="0.3">
      <c r="A392" s="6" t="str">
        <f>HYPERLINK("https://grants.gov/search-results-detail/352417","NNH24ZDA001N-ROMAN")</f>
        <v>NNH24ZDA001N-ROMAN</v>
      </c>
      <c r="B392" s="6" t="s">
        <v>1384</v>
      </c>
      <c r="C392" s="6" t="s">
        <v>679</v>
      </c>
      <c r="D392" s="6" t="s">
        <v>680</v>
      </c>
      <c r="E392" s="7">
        <v>45722</v>
      </c>
      <c r="F392" s="8"/>
      <c r="G392" s="8"/>
      <c r="I392" s="6" t="s">
        <v>681</v>
      </c>
      <c r="J392" s="6" t="s">
        <v>1385</v>
      </c>
    </row>
    <row r="393" spans="1:10" s="6" customFormat="1" ht="409.6" x14ac:dyDescent="0.3">
      <c r="A393" s="6" t="str">
        <f>HYPERLINK("https://grants.gov/search-results-detail/357269","NNH24ZDA001N-FFST")</f>
        <v>NNH24ZDA001N-FFST</v>
      </c>
      <c r="B393" s="6" t="s">
        <v>1030</v>
      </c>
      <c r="C393" s="6" t="s">
        <v>679</v>
      </c>
      <c r="D393" s="6" t="s">
        <v>680</v>
      </c>
      <c r="E393" s="7">
        <v>45723</v>
      </c>
      <c r="F393" s="8"/>
      <c r="G393" s="8"/>
      <c r="I393" s="6" t="s">
        <v>681</v>
      </c>
      <c r="J393" s="6" t="s">
        <v>1031</v>
      </c>
    </row>
    <row r="394" spans="1:10" s="6" customFormat="1" ht="409.6" x14ac:dyDescent="0.3">
      <c r="A394" s="6" t="str">
        <f>HYPERLINK("https://grants.gov/search-results-detail/357114","NNH24ZDA001N-A4DI")</f>
        <v>NNH24ZDA001N-A4DI</v>
      </c>
      <c r="B394" s="6" t="s">
        <v>1094</v>
      </c>
      <c r="C394" s="6" t="s">
        <v>679</v>
      </c>
      <c r="D394" s="6" t="s">
        <v>680</v>
      </c>
      <c r="E394" s="7">
        <v>45723</v>
      </c>
      <c r="F394" s="8"/>
      <c r="G394" s="8"/>
      <c r="I394" s="6" t="s">
        <v>681</v>
      </c>
      <c r="J394" s="6" t="s">
        <v>1095</v>
      </c>
    </row>
    <row r="395" spans="1:10" s="6" customFormat="1" ht="409.6" x14ac:dyDescent="0.3">
      <c r="A395" s="6" t="str">
        <f>HYPERLINK("https://grants.gov/search-results-detail/357108","NNH24ZDA001N-NEWS")</f>
        <v>NNH24ZDA001N-NEWS</v>
      </c>
      <c r="B395" s="6" t="s">
        <v>1092</v>
      </c>
      <c r="C395" s="6" t="s">
        <v>679</v>
      </c>
      <c r="D395" s="6" t="s">
        <v>680</v>
      </c>
      <c r="E395" s="7">
        <v>45728</v>
      </c>
      <c r="F395" s="8"/>
      <c r="G395" s="8"/>
      <c r="I395" s="6" t="s">
        <v>681</v>
      </c>
      <c r="J395" s="6" t="s">
        <v>1093</v>
      </c>
    </row>
    <row r="396" spans="1:10" s="6" customFormat="1" ht="409.6" x14ac:dyDescent="0.3">
      <c r="A396" s="6" t="str">
        <f>HYPERLINK("https://grants.gov/search-results-detail/356273","NNH24ZDA001N-ECON")</f>
        <v>NNH24ZDA001N-ECON</v>
      </c>
      <c r="B396" s="6" t="s">
        <v>1234</v>
      </c>
      <c r="C396" s="6" t="s">
        <v>679</v>
      </c>
      <c r="D396" s="6" t="s">
        <v>680</v>
      </c>
      <c r="E396" s="7">
        <v>45730</v>
      </c>
      <c r="F396" s="8"/>
      <c r="G396" s="8"/>
      <c r="I396" s="6" t="s">
        <v>681</v>
      </c>
      <c r="J396" s="6" t="s">
        <v>1235</v>
      </c>
    </row>
    <row r="397" spans="1:10" s="6" customFormat="1" ht="409.6" x14ac:dyDescent="0.3">
      <c r="A397" s="6" t="str">
        <f>HYPERLINK("https://grants.gov/search-results-detail/355374","NNH24ZDA001N-EMMP")</f>
        <v>NNH24ZDA001N-EMMP</v>
      </c>
      <c r="B397" s="6" t="s">
        <v>1278</v>
      </c>
      <c r="C397" s="6" t="s">
        <v>679</v>
      </c>
      <c r="D397" s="6" t="s">
        <v>680</v>
      </c>
      <c r="E397" s="7">
        <v>45734</v>
      </c>
      <c r="F397" s="8"/>
      <c r="G397" s="8"/>
      <c r="I397" s="6" t="s">
        <v>681</v>
      </c>
      <c r="J397" s="6" t="s">
        <v>1279</v>
      </c>
    </row>
    <row r="398" spans="1:10" s="6" customFormat="1" ht="409.6" x14ac:dyDescent="0.3">
      <c r="A398" s="6" t="str">
        <f>HYPERLINK("https://grants.gov/search-results-detail/352381","NNH24ZDA001N-LDAP")</f>
        <v>NNH24ZDA001N-LDAP</v>
      </c>
      <c r="B398" s="6" t="s">
        <v>1396</v>
      </c>
      <c r="C398" s="6" t="s">
        <v>679</v>
      </c>
      <c r="D398" s="6" t="s">
        <v>680</v>
      </c>
      <c r="E398" s="7">
        <v>45734</v>
      </c>
      <c r="F398" s="8"/>
      <c r="G398" s="8"/>
      <c r="I398" s="6" t="s">
        <v>681</v>
      </c>
      <c r="J398" s="6" t="s">
        <v>1397</v>
      </c>
    </row>
    <row r="399" spans="1:10" s="6" customFormat="1" ht="409.6" x14ac:dyDescent="0.3">
      <c r="A399" s="6" t="str">
        <f>HYPERLINK("https://grants.gov/search-results-detail/357431","NNH24ZDA001N-ECOHYD")</f>
        <v>NNH24ZDA001N-ECOHYD</v>
      </c>
      <c r="B399" s="6" t="s">
        <v>979</v>
      </c>
      <c r="C399" s="6" t="s">
        <v>679</v>
      </c>
      <c r="D399" s="6" t="s">
        <v>680</v>
      </c>
      <c r="E399" s="7">
        <v>45735</v>
      </c>
      <c r="F399" s="8"/>
      <c r="G399" s="8"/>
      <c r="I399" s="6" t="s">
        <v>681</v>
      </c>
      <c r="J399" s="6" t="s">
        <v>980</v>
      </c>
    </row>
    <row r="400" spans="1:10" s="6" customFormat="1" ht="409.6" x14ac:dyDescent="0.3">
      <c r="A400" s="6" t="str">
        <f>HYPERLINK("https://grants.gov/search-results-detail/352422","NNH24ZDA001N-LPS")</f>
        <v>NNH24ZDA001N-LPS</v>
      </c>
      <c r="B400" s="6" t="s">
        <v>1398</v>
      </c>
      <c r="C400" s="6" t="s">
        <v>679</v>
      </c>
      <c r="D400" s="6" t="s">
        <v>680</v>
      </c>
      <c r="E400" s="7">
        <v>45736</v>
      </c>
      <c r="F400" s="8"/>
      <c r="G400" s="8"/>
      <c r="I400" s="6" t="s">
        <v>681</v>
      </c>
      <c r="J400" s="6" t="s">
        <v>1399</v>
      </c>
    </row>
    <row r="401" spans="1:10" s="6" customFormat="1" ht="409.6" x14ac:dyDescent="0.3">
      <c r="A401" s="6" t="str">
        <f>HYPERLINK("https://grants.gov/search-results-detail/357709","NNH24ZDA001N-RSIR")</f>
        <v>NNH24ZDA001N-RSIR</v>
      </c>
      <c r="B401" s="6" t="s">
        <v>818</v>
      </c>
      <c r="C401" s="6" t="s">
        <v>679</v>
      </c>
      <c r="D401" s="6" t="s">
        <v>680</v>
      </c>
      <c r="E401" s="7">
        <v>45741</v>
      </c>
      <c r="F401" s="8"/>
      <c r="G401" s="8"/>
      <c r="I401" s="6" t="s">
        <v>681</v>
      </c>
      <c r="J401" s="6" t="s">
        <v>819</v>
      </c>
    </row>
    <row r="402" spans="1:10" s="6" customFormat="1" ht="409.6" x14ac:dyDescent="0.3">
      <c r="A402" s="6" t="str">
        <f>HYPERLINK("https://grants.gov/search-results-detail/354774","NNH24ZDA001N-MSF")</f>
        <v>NNH24ZDA001N-MSF</v>
      </c>
      <c r="B402" s="6" t="s">
        <v>1292</v>
      </c>
      <c r="C402" s="6" t="s">
        <v>679</v>
      </c>
      <c r="D402" s="6" t="s">
        <v>680</v>
      </c>
      <c r="E402" s="7">
        <v>45744</v>
      </c>
      <c r="F402" s="8"/>
      <c r="G402" s="8"/>
      <c r="H402" s="6">
        <v>1</v>
      </c>
      <c r="I402" s="6" t="s">
        <v>681</v>
      </c>
      <c r="J402" s="6" t="s">
        <v>1293</v>
      </c>
    </row>
    <row r="403" spans="1:10" s="6" customFormat="1" ht="409.6" x14ac:dyDescent="0.3">
      <c r="A403" s="6" t="str">
        <f>HYPERLINK("https://grants.gov/search-results-detail/352416","NNH24ZDA001N-HITS")</f>
        <v>NNH24ZDA001N-HITS</v>
      </c>
      <c r="B403" s="6" t="s">
        <v>1361</v>
      </c>
      <c r="C403" s="6" t="s">
        <v>679</v>
      </c>
      <c r="D403" s="6" t="s">
        <v>680</v>
      </c>
      <c r="E403" s="7">
        <v>45744</v>
      </c>
      <c r="F403" s="8"/>
      <c r="G403" s="8"/>
      <c r="I403" s="6" t="s">
        <v>681</v>
      </c>
      <c r="J403" s="6" t="s">
        <v>1362</v>
      </c>
    </row>
    <row r="404" spans="1:10" s="6" customFormat="1" ht="409.6" x14ac:dyDescent="0.3">
      <c r="A404" s="6" t="str">
        <f>HYPERLINK("https://grants.gov/search-results-detail/352390","NNH24ZDA001N-H2O")</f>
        <v>NNH24ZDA001N-H2O</v>
      </c>
      <c r="B404" s="6" t="s">
        <v>1368</v>
      </c>
      <c r="C404" s="6" t="s">
        <v>679</v>
      </c>
      <c r="D404" s="6" t="s">
        <v>680</v>
      </c>
      <c r="E404" s="7">
        <v>45744</v>
      </c>
      <c r="F404" s="8"/>
      <c r="G404" s="8"/>
      <c r="I404" s="6" t="s">
        <v>681</v>
      </c>
      <c r="J404" s="6" t="s">
        <v>1362</v>
      </c>
    </row>
    <row r="405" spans="1:10" s="6" customFormat="1" ht="409.6" x14ac:dyDescent="0.3">
      <c r="A405" s="6" t="str">
        <f>HYPERLINK("https://grants.gov/search-results-detail/352426","NNH24ZDA001N-HPOSS")</f>
        <v>NNH24ZDA001N-HPOSS</v>
      </c>
      <c r="B405" s="6" t="s">
        <v>1369</v>
      </c>
      <c r="C405" s="6" t="s">
        <v>679</v>
      </c>
      <c r="D405" s="6" t="s">
        <v>680</v>
      </c>
      <c r="E405" s="7">
        <v>45744</v>
      </c>
      <c r="F405" s="8"/>
      <c r="G405" s="8"/>
      <c r="I405" s="6" t="s">
        <v>681</v>
      </c>
      <c r="J405" s="6" t="s">
        <v>1370</v>
      </c>
    </row>
    <row r="406" spans="1:10" s="6" customFormat="1" ht="409.6" x14ac:dyDescent="0.3">
      <c r="A406" s="6" t="str">
        <f>HYPERLINK("https://grants.gov/search-results-detail/352387","NNH24ZDA001N-SSO")</f>
        <v>NNH24ZDA001N-SSO</v>
      </c>
      <c r="B406" s="6" t="s">
        <v>1371</v>
      </c>
      <c r="C406" s="6" t="s">
        <v>679</v>
      </c>
      <c r="D406" s="6" t="s">
        <v>680</v>
      </c>
      <c r="E406" s="7">
        <v>45744</v>
      </c>
      <c r="F406" s="8"/>
      <c r="G406" s="8"/>
      <c r="I406" s="6" t="s">
        <v>681</v>
      </c>
      <c r="J406" s="6" t="s">
        <v>1362</v>
      </c>
    </row>
    <row r="407" spans="1:10" s="6" customFormat="1" ht="409.6" x14ac:dyDescent="0.3">
      <c r="A407" s="6" t="str">
        <f>HYPERLINK("https://grants.gov/search-results-detail/352405","NNH24ZDA001N-RRNES")</f>
        <v>NNH24ZDA001N-RRNES</v>
      </c>
      <c r="B407" s="6" t="s">
        <v>1372</v>
      </c>
      <c r="C407" s="6" t="s">
        <v>679</v>
      </c>
      <c r="D407" s="6" t="s">
        <v>680</v>
      </c>
      <c r="E407" s="7">
        <v>45744</v>
      </c>
      <c r="F407" s="8"/>
      <c r="G407" s="8"/>
      <c r="I407" s="6" t="s">
        <v>681</v>
      </c>
      <c r="J407" s="6" t="s">
        <v>1362</v>
      </c>
    </row>
    <row r="408" spans="1:10" s="6" customFormat="1" ht="409.6" x14ac:dyDescent="0.3">
      <c r="A408" s="6" t="str">
        <f>HYPERLINK("https://grants.gov/search-results-detail/352425","NNH24ZDA001N-SOSS")</f>
        <v>NNH24ZDA001N-SOSS</v>
      </c>
      <c r="B408" s="6" t="s">
        <v>1373</v>
      </c>
      <c r="C408" s="6" t="s">
        <v>679</v>
      </c>
      <c r="D408" s="6" t="s">
        <v>680</v>
      </c>
      <c r="E408" s="7">
        <v>45744</v>
      </c>
      <c r="F408" s="8"/>
      <c r="G408" s="8"/>
      <c r="I408" s="6" t="s">
        <v>681</v>
      </c>
      <c r="J408" s="6" t="s">
        <v>1374</v>
      </c>
    </row>
    <row r="409" spans="1:10" s="6" customFormat="1" ht="409.6" x14ac:dyDescent="0.3">
      <c r="A409" s="6" t="str">
        <f>HYPERLINK("https://grants.gov/search-results-detail/352383","NNH24ZDA001N-SSW")</f>
        <v>NNH24ZDA001N-SSW</v>
      </c>
      <c r="B409" s="6" t="s">
        <v>1375</v>
      </c>
      <c r="C409" s="6" t="s">
        <v>679</v>
      </c>
      <c r="D409" s="6" t="s">
        <v>680</v>
      </c>
      <c r="E409" s="7">
        <v>45744</v>
      </c>
      <c r="F409" s="8"/>
      <c r="G409" s="8"/>
      <c r="I409" s="6" t="s">
        <v>681</v>
      </c>
      <c r="J409" s="6" t="s">
        <v>1362</v>
      </c>
    </row>
    <row r="410" spans="1:10" s="6" customFormat="1" ht="409.6" x14ac:dyDescent="0.3">
      <c r="A410" s="6" t="str">
        <f>HYPERLINK("https://grants.gov/search-results-detail/352388","NNH24ZDA001N-PICASSO")</f>
        <v>NNH24ZDA001N-PICASSO</v>
      </c>
      <c r="B410" s="6" t="s">
        <v>1376</v>
      </c>
      <c r="C410" s="6" t="s">
        <v>679</v>
      </c>
      <c r="D410" s="6" t="s">
        <v>680</v>
      </c>
      <c r="E410" s="7">
        <v>45744</v>
      </c>
      <c r="F410" s="8"/>
      <c r="G410" s="8"/>
      <c r="I410" s="6" t="s">
        <v>681</v>
      </c>
      <c r="J410" s="6" t="s">
        <v>1370</v>
      </c>
    </row>
    <row r="411" spans="1:10" s="6" customFormat="1" ht="409.6" x14ac:dyDescent="0.3">
      <c r="A411" s="6" t="str">
        <f>HYPERLINK("https://grants.gov/search-results-detail/352382","NNH24ZDA001N-EW")</f>
        <v>NNH24ZDA001N-EW</v>
      </c>
      <c r="B411" s="6" t="s">
        <v>1377</v>
      </c>
      <c r="C411" s="6" t="s">
        <v>679</v>
      </c>
      <c r="D411" s="6" t="s">
        <v>680</v>
      </c>
      <c r="E411" s="7">
        <v>45744</v>
      </c>
      <c r="F411" s="8"/>
      <c r="G411" s="8"/>
      <c r="I411" s="6" t="s">
        <v>681</v>
      </c>
      <c r="J411" s="6" t="s">
        <v>1362</v>
      </c>
    </row>
    <row r="412" spans="1:10" s="6" customFormat="1" ht="409.6" x14ac:dyDescent="0.3">
      <c r="A412" s="6" t="str">
        <f>HYPERLINK("https://grants.gov/search-results-detail/352389","NNH24ZDA001N-LARS")</f>
        <v>NNH24ZDA001N-LARS</v>
      </c>
      <c r="B412" s="6" t="s">
        <v>1378</v>
      </c>
      <c r="C412" s="6" t="s">
        <v>679</v>
      </c>
      <c r="D412" s="6" t="s">
        <v>680</v>
      </c>
      <c r="E412" s="7">
        <v>45744</v>
      </c>
      <c r="F412" s="8"/>
      <c r="G412" s="8"/>
      <c r="I412" s="6" t="s">
        <v>681</v>
      </c>
      <c r="J412" s="6" t="s">
        <v>1374</v>
      </c>
    </row>
    <row r="413" spans="1:10" s="6" customFormat="1" ht="409.6" x14ac:dyDescent="0.3">
      <c r="A413" s="6" t="str">
        <f>HYPERLINK("https://grants.gov/search-results-detail/352385","NNH24ZDA001N-PDART")</f>
        <v>NNH24ZDA001N-PDART</v>
      </c>
      <c r="B413" s="6" t="s">
        <v>1379</v>
      </c>
      <c r="C413" s="6" t="s">
        <v>679</v>
      </c>
      <c r="D413" s="6" t="s">
        <v>680</v>
      </c>
      <c r="E413" s="7">
        <v>45744</v>
      </c>
      <c r="F413" s="8"/>
      <c r="G413" s="8"/>
      <c r="I413" s="6" t="s">
        <v>681</v>
      </c>
      <c r="J413" s="6" t="s">
        <v>1362</v>
      </c>
    </row>
    <row r="414" spans="1:10" s="6" customFormat="1" ht="409.6" x14ac:dyDescent="0.3">
      <c r="A414" s="6" t="str">
        <f>HYPERLINK("https://grants.gov/search-results-detail/352386","NNH24ZDA001N-EXO")</f>
        <v>NNH24ZDA001N-EXO</v>
      </c>
      <c r="B414" s="6" t="s">
        <v>1380</v>
      </c>
      <c r="C414" s="6" t="s">
        <v>679</v>
      </c>
      <c r="D414" s="6" t="s">
        <v>680</v>
      </c>
      <c r="E414" s="7">
        <v>45744</v>
      </c>
      <c r="F414" s="8"/>
      <c r="G414" s="8"/>
      <c r="I414" s="6" t="s">
        <v>681</v>
      </c>
      <c r="J414" s="6" t="s">
        <v>1381</v>
      </c>
    </row>
    <row r="415" spans="1:10" s="6" customFormat="1" ht="409.6" x14ac:dyDescent="0.3">
      <c r="A415" s="6" t="str">
        <f>HYPERLINK("https://grants.gov/search-results-detail/352421","NNH24ZDA001N-PIONEERS")</f>
        <v>NNH24ZDA001N-PIONEERS</v>
      </c>
      <c r="B415" s="6" t="s">
        <v>1394</v>
      </c>
      <c r="C415" s="6" t="s">
        <v>679</v>
      </c>
      <c r="D415" s="6" t="s">
        <v>680</v>
      </c>
      <c r="E415" s="7">
        <v>45750</v>
      </c>
      <c r="F415" s="8"/>
      <c r="G415" s="8"/>
      <c r="I415" s="6" t="s">
        <v>681</v>
      </c>
      <c r="J415" s="6" t="s">
        <v>1395</v>
      </c>
    </row>
    <row r="416" spans="1:10" s="6" customFormat="1" ht="409.6" x14ac:dyDescent="0.3">
      <c r="A416" s="6" t="str">
        <f>HYPERLINK("https://grants.gov/search-results-detail/357468","NNH24ZDA001N-FORTEST")</f>
        <v>NNH24ZDA001N-FORTEST</v>
      </c>
      <c r="B416" s="6" t="s">
        <v>962</v>
      </c>
      <c r="C416" s="6" t="s">
        <v>679</v>
      </c>
      <c r="D416" s="6" t="s">
        <v>680</v>
      </c>
      <c r="E416" s="7">
        <v>45768</v>
      </c>
      <c r="F416" s="8"/>
      <c r="G416" s="8"/>
      <c r="I416" s="6" t="s">
        <v>681</v>
      </c>
      <c r="J416" s="6" t="s">
        <v>963</v>
      </c>
    </row>
    <row r="417" spans="1:10" s="6" customFormat="1" ht="409.6" x14ac:dyDescent="0.3">
      <c r="A417" s="6" t="str">
        <f>HYPERLINK("https://grants.gov/search-results-detail/357872","NNH24ZDA001N-ACT")</f>
        <v>NNH24ZDA001N-ACT</v>
      </c>
      <c r="B417" s="6" t="s">
        <v>678</v>
      </c>
      <c r="C417" s="6" t="s">
        <v>679</v>
      </c>
      <c r="D417" s="6" t="s">
        <v>680</v>
      </c>
      <c r="E417" s="7">
        <v>45778</v>
      </c>
      <c r="F417" s="8"/>
      <c r="G417" s="8"/>
      <c r="I417" s="6" t="s">
        <v>681</v>
      </c>
      <c r="J417" s="6" t="s">
        <v>682</v>
      </c>
    </row>
    <row r="418" spans="1:10" s="6" customFormat="1" ht="409.6" x14ac:dyDescent="0.3">
      <c r="A418" s="6" t="str">
        <f>HYPERLINK("https://grants.gov/search-results-detail/352349","NNH24ZDA001N")</f>
        <v>NNH24ZDA001N</v>
      </c>
      <c r="B418" s="6" t="s">
        <v>1382</v>
      </c>
      <c r="C418" s="6" t="s">
        <v>679</v>
      </c>
      <c r="D418" s="6" t="s">
        <v>680</v>
      </c>
      <c r="E418" s="7">
        <v>45792</v>
      </c>
      <c r="F418" s="8"/>
      <c r="G418" s="8"/>
      <c r="I418" s="6" t="s">
        <v>681</v>
      </c>
      <c r="J418" s="6" t="s">
        <v>1383</v>
      </c>
    </row>
    <row r="419" spans="1:10" s="6" customFormat="1" ht="244.8" x14ac:dyDescent="0.3">
      <c r="A419" s="6" t="str">
        <f>HYPERLINK("https://grants.gov/search-results-detail/358418","2025NEA01GAP1MARCH")</f>
        <v>2025NEA01GAP1MARCH</v>
      </c>
      <c r="B419" s="6" t="s">
        <v>26</v>
      </c>
      <c r="C419" s="6" t="s">
        <v>27</v>
      </c>
      <c r="D419" s="6" t="s">
        <v>28</v>
      </c>
      <c r="E419" s="7">
        <v>45727</v>
      </c>
      <c r="F419" s="8">
        <v>150000</v>
      </c>
      <c r="G419" s="8">
        <v>10000</v>
      </c>
      <c r="H419" s="6">
        <v>2075</v>
      </c>
      <c r="I419" s="6" t="s">
        <v>29</v>
      </c>
      <c r="J419" s="6" t="s">
        <v>30</v>
      </c>
    </row>
    <row r="420" spans="1:10" s="6" customFormat="1" ht="57.6" x14ac:dyDescent="0.3">
      <c r="A420" s="6" t="str">
        <f>HYPERLINK("https://grants.gov/search-results-detail/358399","2025NEA01ORALABS")</f>
        <v>2025NEA01ORALABS</v>
      </c>
      <c r="B420" s="6" t="s">
        <v>36</v>
      </c>
      <c r="C420" s="6" t="s">
        <v>27</v>
      </c>
      <c r="D420" s="6" t="s">
        <v>28</v>
      </c>
      <c r="E420" s="7">
        <v>45740</v>
      </c>
      <c r="F420" s="8">
        <v>300000</v>
      </c>
      <c r="G420" s="8">
        <v>100000</v>
      </c>
      <c r="H420" s="6">
        <v>4</v>
      </c>
      <c r="I420" s="6" t="s">
        <v>37</v>
      </c>
      <c r="J420" s="6" t="s">
        <v>38</v>
      </c>
    </row>
    <row r="421" spans="1:10" s="6" customFormat="1" ht="57.6" x14ac:dyDescent="0.3">
      <c r="A421" s="6" t="str">
        <f>HYPERLINK("https://grants.gov/search-results-detail/358398","2025NEA01ORAGRANTS")</f>
        <v>2025NEA01ORAGRANTS</v>
      </c>
      <c r="B421" s="6" t="s">
        <v>39</v>
      </c>
      <c r="C421" s="6" t="s">
        <v>27</v>
      </c>
      <c r="D421" s="6" t="s">
        <v>28</v>
      </c>
      <c r="E421" s="7">
        <v>45740</v>
      </c>
      <c r="F421" s="8">
        <v>100000</v>
      </c>
      <c r="G421" s="8">
        <v>20000</v>
      </c>
      <c r="H421" s="6">
        <v>15</v>
      </c>
      <c r="I421" s="6" t="s">
        <v>40</v>
      </c>
      <c r="J421" s="6" t="s">
        <v>41</v>
      </c>
    </row>
    <row r="422" spans="1:10" s="6" customFormat="1" ht="158.4" x14ac:dyDescent="0.3">
      <c r="A422" s="6" t="str">
        <f>HYPERLINK("https://grants.gov/search-results-detail/357405","20250312-DR")</f>
        <v>20250312-DR</v>
      </c>
      <c r="B422" s="6" t="s">
        <v>648</v>
      </c>
      <c r="C422" s="6" t="s">
        <v>88</v>
      </c>
      <c r="D422" s="6" t="s">
        <v>89</v>
      </c>
      <c r="E422" s="7">
        <v>45728</v>
      </c>
      <c r="F422" s="8">
        <v>6600</v>
      </c>
      <c r="G422" s="8">
        <v>6600</v>
      </c>
      <c r="H422" s="6">
        <v>12</v>
      </c>
      <c r="I422" s="6" t="s">
        <v>649</v>
      </c>
      <c r="J422" s="6" t="s">
        <v>650</v>
      </c>
    </row>
    <row r="423" spans="1:10" s="6" customFormat="1" ht="86.4" x14ac:dyDescent="0.3">
      <c r="A423" s="6" t="str">
        <f>HYPERLINK("https://grants.gov/search-results-detail/358323","20250416-XO")</f>
        <v>20250416-XO</v>
      </c>
      <c r="B423" s="6" t="s">
        <v>198</v>
      </c>
      <c r="C423" s="6" t="s">
        <v>88</v>
      </c>
      <c r="D423" s="6" t="s">
        <v>89</v>
      </c>
      <c r="E423" s="7">
        <v>45763</v>
      </c>
      <c r="F423" s="8">
        <v>150000</v>
      </c>
      <c r="G423" s="8">
        <v>1</v>
      </c>
      <c r="H423" s="6">
        <v>4</v>
      </c>
      <c r="I423" s="6" t="s">
        <v>199</v>
      </c>
      <c r="J423" s="6" t="s">
        <v>200</v>
      </c>
    </row>
    <row r="424" spans="1:10" s="6" customFormat="1" ht="72" x14ac:dyDescent="0.3">
      <c r="A424" s="6" t="str">
        <f>HYPERLINK("https://grants.gov/search-results-detail/354348","20250506-AA-AB-AC-AD-AE")</f>
        <v>20250506-AA-AB-AC-AD-AE</v>
      </c>
      <c r="B424" s="6" t="s">
        <v>87</v>
      </c>
      <c r="C424" s="6" t="s">
        <v>88</v>
      </c>
      <c r="D424" s="6" t="s">
        <v>89</v>
      </c>
      <c r="E424" s="7">
        <v>45783</v>
      </c>
      <c r="F424" s="8">
        <v>150000</v>
      </c>
      <c r="G424" s="8">
        <v>1</v>
      </c>
      <c r="H424" s="6">
        <v>25</v>
      </c>
      <c r="I424" s="6" t="s">
        <v>90</v>
      </c>
      <c r="J424" s="6" t="s">
        <v>91</v>
      </c>
    </row>
    <row r="425" spans="1:10" s="6" customFormat="1" ht="86.4" x14ac:dyDescent="0.3">
      <c r="A425" s="6" t="str">
        <f>HYPERLINK("https://grants.gov/search-results-detail/275148","PD-98-1610")</f>
        <v>PD-98-1610</v>
      </c>
      <c r="B425" s="6" t="s">
        <v>1929</v>
      </c>
      <c r="C425" s="6" t="s">
        <v>32</v>
      </c>
      <c r="D425" s="6" t="s">
        <v>33</v>
      </c>
      <c r="E425" s="7">
        <v>45705</v>
      </c>
      <c r="F425" s="8"/>
      <c r="G425" s="8">
        <v>250000</v>
      </c>
      <c r="I425" s="6" t="s">
        <v>48</v>
      </c>
      <c r="J425" s="6" t="s">
        <v>1930</v>
      </c>
    </row>
    <row r="426" spans="1:10" s="6" customFormat="1" ht="129.6" x14ac:dyDescent="0.3">
      <c r="A426" s="6" t="str">
        <f>HYPERLINK("https://grants.gov/search-results-detail/45793","PD-98-1680")</f>
        <v>PD-98-1680</v>
      </c>
      <c r="B426" s="6" t="s">
        <v>2036</v>
      </c>
      <c r="C426" s="6" t="s">
        <v>32</v>
      </c>
      <c r="D426" s="6" t="s">
        <v>33</v>
      </c>
      <c r="E426" s="7">
        <v>45705</v>
      </c>
      <c r="F426" s="8"/>
      <c r="G426" s="8"/>
      <c r="I426" s="6" t="s">
        <v>48</v>
      </c>
      <c r="J426" s="6" t="s">
        <v>2037</v>
      </c>
    </row>
    <row r="427" spans="1:10" s="6" customFormat="1" ht="345.6" x14ac:dyDescent="0.3">
      <c r="A427" s="6" t="str">
        <f>HYPERLINK("https://grants.gov/search-results-detail/351534","24-516")</f>
        <v>24-516</v>
      </c>
      <c r="B427" s="6" t="s">
        <v>1418</v>
      </c>
      <c r="C427" s="6" t="s">
        <v>32</v>
      </c>
      <c r="D427" s="6" t="s">
        <v>33</v>
      </c>
      <c r="E427" s="7">
        <v>45706</v>
      </c>
      <c r="F427" s="8"/>
      <c r="G427" s="8"/>
      <c r="H427" s="6">
        <v>5</v>
      </c>
      <c r="I427" s="6" t="s">
        <v>1419</v>
      </c>
      <c r="J427" s="6" t="s">
        <v>1420</v>
      </c>
    </row>
    <row r="428" spans="1:10" s="6" customFormat="1" ht="409.6" x14ac:dyDescent="0.3">
      <c r="A428" s="6" t="str">
        <f>HYPERLINK("https://grants.gov/search-results-detail/351091","24-509")</f>
        <v>24-509</v>
      </c>
      <c r="B428" s="6" t="s">
        <v>1423</v>
      </c>
      <c r="C428" s="6" t="s">
        <v>32</v>
      </c>
      <c r="D428" s="6" t="s">
        <v>33</v>
      </c>
      <c r="E428" s="7">
        <v>45706</v>
      </c>
      <c r="F428" s="8"/>
      <c r="G428" s="8">
        <v>10500000</v>
      </c>
      <c r="I428" s="6" t="s">
        <v>1424</v>
      </c>
      <c r="J428" s="6" t="s">
        <v>1425</v>
      </c>
    </row>
    <row r="429" spans="1:10" s="6" customFormat="1" ht="409.6" x14ac:dyDescent="0.3">
      <c r="A429" s="6" t="str">
        <f>HYPERLINK("https://grants.gov/search-results-detail/344223","23-511")</f>
        <v>23-511</v>
      </c>
      <c r="B429" s="6" t="s">
        <v>1581</v>
      </c>
      <c r="C429" s="6" t="s">
        <v>32</v>
      </c>
      <c r="D429" s="6" t="s">
        <v>33</v>
      </c>
      <c r="E429" s="7">
        <v>45706</v>
      </c>
      <c r="F429" s="8"/>
      <c r="G429" s="8">
        <v>15000000</v>
      </c>
      <c r="H429" s="6">
        <v>5</v>
      </c>
      <c r="I429" s="6" t="s">
        <v>1355</v>
      </c>
      <c r="J429" s="6" t="s">
        <v>1582</v>
      </c>
    </row>
    <row r="430" spans="1:10" s="6" customFormat="1" ht="388.8" x14ac:dyDescent="0.3">
      <c r="A430" s="6" t="str">
        <f>HYPERLINK("https://grants.gov/search-results-detail/342475","22-615")</f>
        <v>22-615</v>
      </c>
      <c r="B430" s="6" t="s">
        <v>1607</v>
      </c>
      <c r="C430" s="6" t="s">
        <v>32</v>
      </c>
      <c r="D430" s="6" t="s">
        <v>33</v>
      </c>
      <c r="E430" s="7">
        <v>45706</v>
      </c>
      <c r="F430" s="8"/>
      <c r="G430" s="8"/>
      <c r="H430" s="6">
        <v>25</v>
      </c>
      <c r="I430" s="6" t="s">
        <v>1608</v>
      </c>
      <c r="J430" s="6" t="s">
        <v>1609</v>
      </c>
    </row>
    <row r="431" spans="1:10" s="6" customFormat="1" ht="216" x14ac:dyDescent="0.3">
      <c r="A431" s="6" t="str">
        <f>HYPERLINK("https://grants.gov/search-results-detail/342476","22-616")</f>
        <v>22-616</v>
      </c>
      <c r="B431" s="6" t="s">
        <v>1610</v>
      </c>
      <c r="C431" s="6" t="s">
        <v>32</v>
      </c>
      <c r="D431" s="6" t="s">
        <v>33</v>
      </c>
      <c r="E431" s="7">
        <v>45706</v>
      </c>
      <c r="F431" s="8"/>
      <c r="G431" s="8"/>
      <c r="H431" s="6">
        <v>15</v>
      </c>
      <c r="I431" s="6" t="s">
        <v>1611</v>
      </c>
      <c r="J431" s="6" t="s">
        <v>1612</v>
      </c>
    </row>
    <row r="432" spans="1:10" s="6" customFormat="1" ht="100.8" x14ac:dyDescent="0.3">
      <c r="A432" s="6" t="str">
        <f>HYPERLINK("https://grants.gov/search-results-detail/275150","PD-98-1670")</f>
        <v>PD-98-1670</v>
      </c>
      <c r="B432" s="6" t="s">
        <v>1931</v>
      </c>
      <c r="C432" s="6" t="s">
        <v>32</v>
      </c>
      <c r="D432" s="6" t="s">
        <v>33</v>
      </c>
      <c r="E432" s="7">
        <v>45706</v>
      </c>
      <c r="F432" s="8">
        <v>2000000</v>
      </c>
      <c r="G432" s="8">
        <v>200000</v>
      </c>
      <c r="H432" s="6">
        <v>20</v>
      </c>
      <c r="I432" s="6" t="s">
        <v>48</v>
      </c>
      <c r="J432" s="6" t="s">
        <v>1932</v>
      </c>
    </row>
    <row r="433" spans="1:10" s="6" customFormat="1" ht="216" x14ac:dyDescent="0.3">
      <c r="A433" s="6" t="str">
        <f>HYPERLINK("https://grants.gov/search-results-detail/358104","21-546")</f>
        <v>21-546</v>
      </c>
      <c r="B433" s="6" t="s">
        <v>455</v>
      </c>
      <c r="C433" s="6" t="s">
        <v>32</v>
      </c>
      <c r="D433" s="6" t="s">
        <v>33</v>
      </c>
      <c r="E433" s="7">
        <v>45708</v>
      </c>
      <c r="F433" s="8">
        <v>2000000</v>
      </c>
      <c r="G433" s="8">
        <v>1</v>
      </c>
      <c r="H433" s="6">
        <v>15</v>
      </c>
      <c r="I433" s="6" t="s">
        <v>456</v>
      </c>
      <c r="J433" s="6" t="s">
        <v>457</v>
      </c>
    </row>
    <row r="434" spans="1:10" s="6" customFormat="1" ht="409.6" x14ac:dyDescent="0.3">
      <c r="A434" s="6" t="str">
        <f>HYPERLINK("https://grants.gov/search-results-detail/357214","25-511")</f>
        <v>25-511</v>
      </c>
      <c r="B434" s="6" t="s">
        <v>1070</v>
      </c>
      <c r="C434" s="6" t="s">
        <v>32</v>
      </c>
      <c r="D434" s="6" t="s">
        <v>33</v>
      </c>
      <c r="E434" s="7">
        <v>45712</v>
      </c>
      <c r="F434" s="8">
        <v>1000000</v>
      </c>
      <c r="G434" s="8">
        <v>1</v>
      </c>
      <c r="H434" s="6">
        <v>35</v>
      </c>
      <c r="I434" s="6" t="s">
        <v>1071</v>
      </c>
      <c r="J434" s="6" t="s">
        <v>1072</v>
      </c>
    </row>
    <row r="435" spans="1:10" s="6" customFormat="1" ht="409.6" x14ac:dyDescent="0.3">
      <c r="A435" s="6" t="str">
        <f>HYPERLINK("https://grants.gov/search-results-detail/356338","24-602")</f>
        <v>24-602</v>
      </c>
      <c r="B435" s="6" t="s">
        <v>1228</v>
      </c>
      <c r="C435" s="6" t="s">
        <v>32</v>
      </c>
      <c r="D435" s="6" t="s">
        <v>33</v>
      </c>
      <c r="E435" s="7">
        <v>45716</v>
      </c>
      <c r="F435" s="8"/>
      <c r="G435" s="8"/>
      <c r="I435" s="6" t="s">
        <v>1229</v>
      </c>
      <c r="J435" s="6" t="s">
        <v>1230</v>
      </c>
    </row>
    <row r="436" spans="1:10" s="6" customFormat="1" ht="409.6" x14ac:dyDescent="0.3">
      <c r="A436" s="6" t="str">
        <f>HYPERLINK("https://grants.gov/search-results-detail/345629","23-555")</f>
        <v>23-555</v>
      </c>
      <c r="B436" s="6" t="s">
        <v>1550</v>
      </c>
      <c r="C436" s="6" t="s">
        <v>32</v>
      </c>
      <c r="D436" s="6" t="s">
        <v>33</v>
      </c>
      <c r="E436" s="7">
        <v>45716</v>
      </c>
      <c r="F436" s="8"/>
      <c r="G436" s="8"/>
      <c r="I436" s="6" t="s">
        <v>1551</v>
      </c>
      <c r="J436" s="6" t="s">
        <v>1552</v>
      </c>
    </row>
    <row r="437" spans="1:10" s="6" customFormat="1" ht="288" x14ac:dyDescent="0.3">
      <c r="A437" s="6" t="str">
        <f>HYPERLINK("https://grants.gov/search-results-detail/337130","22-548")</f>
        <v>22-548</v>
      </c>
      <c r="B437" s="6" t="s">
        <v>1662</v>
      </c>
      <c r="C437" s="6" t="s">
        <v>32</v>
      </c>
      <c r="D437" s="6" t="s">
        <v>33</v>
      </c>
      <c r="E437" s="7">
        <v>45716</v>
      </c>
      <c r="F437" s="8"/>
      <c r="G437" s="8"/>
      <c r="I437" s="6" t="s">
        <v>1663</v>
      </c>
      <c r="J437" s="6" t="s">
        <v>1664</v>
      </c>
    </row>
    <row r="438" spans="1:10" s="6" customFormat="1" ht="409.6" x14ac:dyDescent="0.3">
      <c r="A438" s="6" t="str">
        <f>HYPERLINK("https://grants.gov/search-results-detail/357395","25-512")</f>
        <v>25-512</v>
      </c>
      <c r="B438" s="6" t="s">
        <v>987</v>
      </c>
      <c r="C438" s="6" t="s">
        <v>32</v>
      </c>
      <c r="D438" s="6" t="s">
        <v>33</v>
      </c>
      <c r="E438" s="7">
        <v>45719</v>
      </c>
      <c r="F438" s="8"/>
      <c r="G438" s="8"/>
      <c r="I438" s="6" t="s">
        <v>988</v>
      </c>
      <c r="J438" s="6" t="s">
        <v>989</v>
      </c>
    </row>
    <row r="439" spans="1:10" s="6" customFormat="1" ht="273.60000000000002" x14ac:dyDescent="0.3">
      <c r="A439" s="6" t="str">
        <f>HYPERLINK("https://grants.gov/search-results-detail/357047","25-509")</f>
        <v>25-509</v>
      </c>
      <c r="B439" s="6" t="s">
        <v>1110</v>
      </c>
      <c r="C439" s="6" t="s">
        <v>32</v>
      </c>
      <c r="D439" s="6" t="s">
        <v>33</v>
      </c>
      <c r="E439" s="7">
        <v>45719</v>
      </c>
      <c r="F439" s="8"/>
      <c r="G439" s="8"/>
      <c r="H439" s="6">
        <v>15</v>
      </c>
      <c r="I439" s="6" t="s">
        <v>1111</v>
      </c>
      <c r="J439" s="6" t="s">
        <v>1112</v>
      </c>
    </row>
    <row r="440" spans="1:10" s="6" customFormat="1" ht="409.6" x14ac:dyDescent="0.3">
      <c r="A440" s="6" t="str">
        <f>HYPERLINK("https://grants.gov/search-results-detail/352106","24-534")</f>
        <v>24-534</v>
      </c>
      <c r="B440" s="6" t="s">
        <v>1409</v>
      </c>
      <c r="C440" s="6" t="s">
        <v>32</v>
      </c>
      <c r="D440" s="6" t="s">
        <v>33</v>
      </c>
      <c r="E440" s="7">
        <v>45719</v>
      </c>
      <c r="F440" s="8">
        <v>1000000</v>
      </c>
      <c r="G440" s="8">
        <v>75000</v>
      </c>
      <c r="H440" s="6">
        <v>60</v>
      </c>
      <c r="I440" s="6" t="s">
        <v>1410</v>
      </c>
      <c r="J440" s="6" t="s">
        <v>1411</v>
      </c>
    </row>
    <row r="441" spans="1:10" s="6" customFormat="1" ht="409.6" x14ac:dyDescent="0.3">
      <c r="A441" s="6" t="str">
        <f>HYPERLINK("https://grants.gov/search-results-detail/347508","23-577")</f>
        <v>23-577</v>
      </c>
      <c r="B441" s="6" t="s">
        <v>1503</v>
      </c>
      <c r="C441" s="6" t="s">
        <v>32</v>
      </c>
      <c r="D441" s="6" t="s">
        <v>33</v>
      </c>
      <c r="E441" s="7">
        <v>45719</v>
      </c>
      <c r="F441" s="8"/>
      <c r="G441" s="8">
        <v>1500000</v>
      </c>
      <c r="H441" s="6">
        <v>4</v>
      </c>
      <c r="I441" s="6" t="s">
        <v>1504</v>
      </c>
      <c r="J441" s="6" t="s">
        <v>1505</v>
      </c>
    </row>
    <row r="442" spans="1:10" s="6" customFormat="1" ht="409.6" x14ac:dyDescent="0.3">
      <c r="A442" s="6" t="str">
        <f>HYPERLINK("https://grants.gov/search-results-detail/341086","22-603")</f>
        <v>22-603</v>
      </c>
      <c r="B442" s="6" t="s">
        <v>1619</v>
      </c>
      <c r="C442" s="6" t="s">
        <v>32</v>
      </c>
      <c r="D442" s="6" t="s">
        <v>33</v>
      </c>
      <c r="E442" s="7">
        <v>45719</v>
      </c>
      <c r="F442" s="8"/>
      <c r="G442" s="8"/>
      <c r="H442" s="6">
        <v>45</v>
      </c>
      <c r="I442" s="6" t="s">
        <v>1620</v>
      </c>
      <c r="J442" s="6" t="s">
        <v>1621</v>
      </c>
    </row>
    <row r="443" spans="1:10" s="6" customFormat="1" ht="409.6" x14ac:dyDescent="0.3">
      <c r="A443" s="6" t="str">
        <f>HYPERLINK("https://grants.gov/search-results-detail/357498","25-514")</f>
        <v>25-514</v>
      </c>
      <c r="B443" s="6" t="s">
        <v>944</v>
      </c>
      <c r="C443" s="6" t="s">
        <v>32</v>
      </c>
      <c r="D443" s="6" t="s">
        <v>33</v>
      </c>
      <c r="E443" s="7">
        <v>45720</v>
      </c>
      <c r="F443" s="8">
        <v>5000000</v>
      </c>
      <c r="G443" s="8">
        <v>1000000</v>
      </c>
      <c r="H443" s="6">
        <v>60</v>
      </c>
      <c r="I443" s="6" t="s">
        <v>945</v>
      </c>
      <c r="J443" s="6" t="s">
        <v>946</v>
      </c>
    </row>
    <row r="444" spans="1:10" s="6" customFormat="1" ht="374.4" x14ac:dyDescent="0.3">
      <c r="A444" s="6" t="str">
        <f>HYPERLINK("https://grants.gov/search-results-detail/357105","25-510")</f>
        <v>25-510</v>
      </c>
      <c r="B444" s="6" t="s">
        <v>1081</v>
      </c>
      <c r="C444" s="6" t="s">
        <v>32</v>
      </c>
      <c r="D444" s="6" t="s">
        <v>33</v>
      </c>
      <c r="E444" s="7">
        <v>45721</v>
      </c>
      <c r="F444" s="8">
        <v>750000</v>
      </c>
      <c r="G444" s="8">
        <v>100000</v>
      </c>
      <c r="H444" s="6">
        <v>15</v>
      </c>
      <c r="I444" s="6" t="s">
        <v>1082</v>
      </c>
      <c r="J444" s="6" t="s">
        <v>1083</v>
      </c>
    </row>
    <row r="445" spans="1:10" s="6" customFormat="1" ht="409.6" x14ac:dyDescent="0.3">
      <c r="A445" s="6" t="str">
        <f>HYPERLINK("https://grants.gov/search-results-detail/355009","24-582")</f>
        <v>24-582</v>
      </c>
      <c r="B445" s="6" t="s">
        <v>1286</v>
      </c>
      <c r="C445" s="6" t="s">
        <v>32</v>
      </c>
      <c r="D445" s="6" t="s">
        <v>33</v>
      </c>
      <c r="E445" s="7">
        <v>45721</v>
      </c>
      <c r="F445" s="8">
        <v>1555000</v>
      </c>
      <c r="G445" s="8">
        <v>400000</v>
      </c>
      <c r="I445" s="6" t="s">
        <v>1287</v>
      </c>
      <c r="J445" s="6" t="s">
        <v>1288</v>
      </c>
    </row>
    <row r="446" spans="1:10" s="6" customFormat="1" ht="409.6" x14ac:dyDescent="0.3">
      <c r="A446" s="6" t="str">
        <f>HYPERLINK("https://grants.gov/search-results-detail/354632","24-579")</f>
        <v>24-579</v>
      </c>
      <c r="B446" s="6" t="s">
        <v>1294</v>
      </c>
      <c r="C446" s="6" t="s">
        <v>32</v>
      </c>
      <c r="D446" s="6" t="s">
        <v>33</v>
      </c>
      <c r="E446" s="7">
        <v>45721</v>
      </c>
      <c r="F446" s="8"/>
      <c r="G446" s="8">
        <v>305000</v>
      </c>
      <c r="I446" s="6" t="s">
        <v>1295</v>
      </c>
      <c r="J446" s="6" t="s">
        <v>1296</v>
      </c>
    </row>
    <row r="447" spans="1:10" s="6" customFormat="1" ht="409.6" x14ac:dyDescent="0.3">
      <c r="A447" s="6" t="str">
        <f>HYPERLINK("https://grants.gov/search-results-detail/354633","24-580")</f>
        <v>24-580</v>
      </c>
      <c r="B447" s="6" t="s">
        <v>1297</v>
      </c>
      <c r="C447" s="6" t="s">
        <v>32</v>
      </c>
      <c r="D447" s="6" t="s">
        <v>33</v>
      </c>
      <c r="E447" s="7">
        <v>45721</v>
      </c>
      <c r="F447" s="8"/>
      <c r="G447" s="8">
        <v>12000000</v>
      </c>
      <c r="H447" s="6">
        <v>100</v>
      </c>
      <c r="I447" s="6" t="s">
        <v>1298</v>
      </c>
      <c r="J447" s="6" t="s">
        <v>1299</v>
      </c>
    </row>
    <row r="448" spans="1:10" s="6" customFormat="1" ht="360" x14ac:dyDescent="0.3">
      <c r="A448" s="6" t="str">
        <f>HYPERLINK("https://grants.gov/search-results-detail/344070","23-506")</f>
        <v>23-506</v>
      </c>
      <c r="B448" s="6" t="s">
        <v>1583</v>
      </c>
      <c r="C448" s="6" t="s">
        <v>32</v>
      </c>
      <c r="D448" s="6" t="s">
        <v>33</v>
      </c>
      <c r="E448" s="7">
        <v>45726</v>
      </c>
      <c r="F448" s="8">
        <v>28000000</v>
      </c>
      <c r="G448" s="8">
        <v>400000</v>
      </c>
      <c r="H448" s="6">
        <v>25</v>
      </c>
      <c r="I448" s="6" t="s">
        <v>1584</v>
      </c>
      <c r="J448" s="6" t="s">
        <v>1585</v>
      </c>
    </row>
    <row r="449" spans="1:10" s="6" customFormat="1" ht="409.6" x14ac:dyDescent="0.3">
      <c r="A449" s="6" t="str">
        <f>HYPERLINK("https://grants.gov/search-results-detail/357581","25-520")</f>
        <v>25-520</v>
      </c>
      <c r="B449" s="6" t="s">
        <v>891</v>
      </c>
      <c r="C449" s="6" t="s">
        <v>32</v>
      </c>
      <c r="D449" s="6" t="s">
        <v>33</v>
      </c>
      <c r="E449" s="7">
        <v>45730</v>
      </c>
      <c r="F449" s="8"/>
      <c r="G449" s="8">
        <v>3000000</v>
      </c>
      <c r="I449" s="6" t="s">
        <v>892</v>
      </c>
      <c r="J449" s="6" t="s">
        <v>893</v>
      </c>
    </row>
    <row r="450" spans="1:10" s="6" customFormat="1" ht="409.6" x14ac:dyDescent="0.3">
      <c r="A450" s="6" t="str">
        <f>HYPERLINK("https://grants.gov/search-results-detail/357777","25-524")</f>
        <v>25-524</v>
      </c>
      <c r="B450" s="6" t="s">
        <v>725</v>
      </c>
      <c r="C450" s="6" t="s">
        <v>32</v>
      </c>
      <c r="D450" s="6" t="s">
        <v>33</v>
      </c>
      <c r="E450" s="7">
        <v>45733</v>
      </c>
      <c r="F450" s="8"/>
      <c r="G450" s="8"/>
      <c r="H450" s="6">
        <v>16</v>
      </c>
      <c r="I450" s="6" t="s">
        <v>541</v>
      </c>
      <c r="J450" s="6" t="s">
        <v>726</v>
      </c>
    </row>
    <row r="451" spans="1:10" s="6" customFormat="1" ht="331.2" x14ac:dyDescent="0.3">
      <c r="A451" s="6" t="str">
        <f>HYPERLINK("https://grants.gov/search-results-detail/353134","24-559")</f>
        <v>24-559</v>
      </c>
      <c r="B451" s="6" t="s">
        <v>1333</v>
      </c>
      <c r="C451" s="6" t="s">
        <v>32</v>
      </c>
      <c r="D451" s="6" t="s">
        <v>33</v>
      </c>
      <c r="E451" s="7">
        <v>45733</v>
      </c>
      <c r="F451" s="8"/>
      <c r="G451" s="8">
        <v>1500000</v>
      </c>
      <c r="H451" s="6">
        <v>10</v>
      </c>
      <c r="I451" s="6" t="s">
        <v>1334</v>
      </c>
      <c r="J451" s="6" t="s">
        <v>1335</v>
      </c>
    </row>
    <row r="452" spans="1:10" s="6" customFormat="1" ht="374.4" x14ac:dyDescent="0.3">
      <c r="A452" s="6" t="str">
        <f>HYPERLINK("https://grants.gov/search-results-detail/357453","25-513")</f>
        <v>25-513</v>
      </c>
      <c r="B452" s="6" t="s">
        <v>973</v>
      </c>
      <c r="C452" s="6" t="s">
        <v>32</v>
      </c>
      <c r="D452" s="6" t="s">
        <v>33</v>
      </c>
      <c r="E452" s="7">
        <v>45734</v>
      </c>
      <c r="F452" s="8"/>
      <c r="G452" s="8">
        <v>400000</v>
      </c>
      <c r="H452" s="6">
        <v>4</v>
      </c>
      <c r="I452" s="6" t="s">
        <v>974</v>
      </c>
      <c r="J452" s="6" t="s">
        <v>975</v>
      </c>
    </row>
    <row r="453" spans="1:10" s="6" customFormat="1" ht="409.6" x14ac:dyDescent="0.3">
      <c r="A453" s="6" t="str">
        <f>HYPERLINK("https://grants.gov/search-results-detail/356129","24-598")</f>
        <v>24-598</v>
      </c>
      <c r="B453" s="6" t="s">
        <v>1253</v>
      </c>
      <c r="C453" s="6" t="s">
        <v>32</v>
      </c>
      <c r="D453" s="6" t="s">
        <v>33</v>
      </c>
      <c r="E453" s="7">
        <v>45735</v>
      </c>
      <c r="F453" s="8">
        <v>19999999</v>
      </c>
      <c r="G453" s="8">
        <v>4000000</v>
      </c>
      <c r="H453" s="6">
        <v>10</v>
      </c>
      <c r="I453" s="6" t="s">
        <v>1254</v>
      </c>
      <c r="J453" s="6" t="s">
        <v>1255</v>
      </c>
    </row>
    <row r="454" spans="1:10" s="6" customFormat="1" ht="345.6" x14ac:dyDescent="0.3">
      <c r="A454" s="6" t="str">
        <f>HYPERLINK("https://grants.gov/search-results-detail/351947","24-529")</f>
        <v>24-529</v>
      </c>
      <c r="B454" s="6" t="s">
        <v>1412</v>
      </c>
      <c r="C454" s="6" t="s">
        <v>32</v>
      </c>
      <c r="D454" s="6" t="s">
        <v>33</v>
      </c>
      <c r="E454" s="7">
        <v>45741</v>
      </c>
      <c r="F454" s="8">
        <v>1000000</v>
      </c>
      <c r="G454" s="8">
        <v>300000</v>
      </c>
      <c r="H454" s="6">
        <v>20</v>
      </c>
      <c r="I454" s="6" t="s">
        <v>1413</v>
      </c>
      <c r="J454" s="6" t="s">
        <v>1414</v>
      </c>
    </row>
    <row r="455" spans="1:10" s="6" customFormat="1" ht="409.6" x14ac:dyDescent="0.3">
      <c r="A455" s="6" t="str">
        <f>HYPERLINK("https://grants.gov/search-results-detail/332372","21-576")</f>
        <v>21-576</v>
      </c>
      <c r="B455" s="6" t="s">
        <v>1704</v>
      </c>
      <c r="C455" s="6" t="s">
        <v>32</v>
      </c>
      <c r="D455" s="6" t="s">
        <v>33</v>
      </c>
      <c r="E455" s="7">
        <v>45741</v>
      </c>
      <c r="F455" s="8">
        <v>4400000</v>
      </c>
      <c r="G455" s="8">
        <v>400</v>
      </c>
      <c r="H455" s="6">
        <v>32</v>
      </c>
      <c r="I455" s="6" t="s">
        <v>1111</v>
      </c>
      <c r="J455" s="6" t="s">
        <v>1705</v>
      </c>
    </row>
    <row r="456" spans="1:10" s="6" customFormat="1" ht="409.6" x14ac:dyDescent="0.3">
      <c r="A456" s="6" t="str">
        <f>HYPERLINK("https://grants.gov/search-results-detail/324456","20-544")</f>
        <v>20-544</v>
      </c>
      <c r="B456" s="6" t="s">
        <v>1800</v>
      </c>
      <c r="C456" s="6" t="s">
        <v>32</v>
      </c>
      <c r="D456" s="6" t="s">
        <v>33</v>
      </c>
      <c r="E456" s="7">
        <v>45747</v>
      </c>
      <c r="F456" s="8"/>
      <c r="G456" s="8">
        <v>15000000</v>
      </c>
      <c r="H456" s="6">
        <v>4</v>
      </c>
      <c r="I456" s="6" t="s">
        <v>1801</v>
      </c>
      <c r="J456" s="6" t="s">
        <v>1802</v>
      </c>
    </row>
    <row r="457" spans="1:10" s="6" customFormat="1" ht="409.6" x14ac:dyDescent="0.3">
      <c r="A457" s="6" t="str">
        <f>HYPERLINK("https://grants.gov/search-results-detail/357894","25-528")</f>
        <v>25-528</v>
      </c>
      <c r="B457" s="6" t="s">
        <v>651</v>
      </c>
      <c r="C457" s="6" t="s">
        <v>32</v>
      </c>
      <c r="D457" s="6" t="s">
        <v>33</v>
      </c>
      <c r="E457" s="7">
        <v>45748</v>
      </c>
      <c r="F457" s="8"/>
      <c r="G457" s="8"/>
      <c r="I457" s="6" t="s">
        <v>652</v>
      </c>
      <c r="J457" s="6" t="s">
        <v>653</v>
      </c>
    </row>
    <row r="458" spans="1:10" s="6" customFormat="1" ht="409.6" x14ac:dyDescent="0.3">
      <c r="A458" s="6" t="str">
        <f>HYPERLINK("https://grants.gov/search-results-detail/355196","24-586")</f>
        <v>24-586</v>
      </c>
      <c r="B458" s="6" t="s">
        <v>1283</v>
      </c>
      <c r="C458" s="6" t="s">
        <v>32</v>
      </c>
      <c r="D458" s="6" t="s">
        <v>33</v>
      </c>
      <c r="E458" s="7">
        <v>45748</v>
      </c>
      <c r="F458" s="8"/>
      <c r="G458" s="8"/>
      <c r="I458" s="6" t="s">
        <v>1284</v>
      </c>
      <c r="J458" s="6" t="s">
        <v>1285</v>
      </c>
    </row>
    <row r="459" spans="1:10" s="6" customFormat="1" ht="409.6" x14ac:dyDescent="0.3">
      <c r="A459" s="6" t="str">
        <f>HYPERLINK("https://grants.gov/search-results-detail/334326","21-595")</f>
        <v>21-595</v>
      </c>
      <c r="B459" s="6" t="s">
        <v>1689</v>
      </c>
      <c r="C459" s="6" t="s">
        <v>32</v>
      </c>
      <c r="D459" s="6" t="s">
        <v>33</v>
      </c>
      <c r="E459" s="7">
        <v>45748</v>
      </c>
      <c r="F459" s="8">
        <v>3500000</v>
      </c>
      <c r="G459" s="8">
        <v>100000</v>
      </c>
      <c r="H459" s="6">
        <v>55</v>
      </c>
      <c r="I459" s="6" t="s">
        <v>1690</v>
      </c>
      <c r="J459" s="6" t="s">
        <v>1691</v>
      </c>
    </row>
    <row r="460" spans="1:10" s="6" customFormat="1" ht="409.6" x14ac:dyDescent="0.3">
      <c r="A460" s="6" t="str">
        <f>HYPERLINK("https://grants.gov/search-results-detail/358004","25-531")</f>
        <v>25-531</v>
      </c>
      <c r="B460" s="6" t="s">
        <v>540</v>
      </c>
      <c r="C460" s="6" t="s">
        <v>32</v>
      </c>
      <c r="D460" s="6" t="s">
        <v>33</v>
      </c>
      <c r="E460" s="7">
        <v>45749</v>
      </c>
      <c r="F460" s="8">
        <v>1200000</v>
      </c>
      <c r="G460" s="8"/>
      <c r="H460" s="6">
        <v>20</v>
      </c>
      <c r="I460" s="6" t="s">
        <v>541</v>
      </c>
      <c r="J460" s="6" t="s">
        <v>542</v>
      </c>
    </row>
    <row r="461" spans="1:10" s="6" customFormat="1" ht="360" x14ac:dyDescent="0.3">
      <c r="A461" s="6" t="str">
        <f>HYPERLINK("https://grants.gov/search-results-detail/357983","25-530")</f>
        <v>25-530</v>
      </c>
      <c r="B461" s="6" t="s">
        <v>553</v>
      </c>
      <c r="C461" s="6" t="s">
        <v>32</v>
      </c>
      <c r="D461" s="6" t="s">
        <v>33</v>
      </c>
      <c r="E461" s="7">
        <v>45749</v>
      </c>
      <c r="F461" s="8"/>
      <c r="G461" s="8"/>
      <c r="H461" s="6">
        <v>9</v>
      </c>
      <c r="I461" s="6" t="s">
        <v>554</v>
      </c>
      <c r="J461" s="6" t="s">
        <v>555</v>
      </c>
    </row>
    <row r="462" spans="1:10" s="6" customFormat="1" ht="230.4" x14ac:dyDescent="0.3">
      <c r="A462" s="6" t="str">
        <f>HYPERLINK("https://grants.gov/search-results-detail/357861","25-527")</f>
        <v>25-527</v>
      </c>
      <c r="B462" s="6" t="s">
        <v>676</v>
      </c>
      <c r="C462" s="6" t="s">
        <v>32</v>
      </c>
      <c r="D462" s="6" t="s">
        <v>33</v>
      </c>
      <c r="E462" s="7">
        <v>45751</v>
      </c>
      <c r="F462" s="8"/>
      <c r="G462" s="8"/>
      <c r="H462" s="6">
        <v>40</v>
      </c>
      <c r="I462" s="6" t="s">
        <v>541</v>
      </c>
      <c r="J462" s="6" t="s">
        <v>677</v>
      </c>
    </row>
    <row r="463" spans="1:10" s="6" customFormat="1" ht="409.6" x14ac:dyDescent="0.3">
      <c r="A463" s="6" t="str">
        <f>HYPERLINK("https://grants.gov/search-results-detail/353413","24-564")</f>
        <v>24-564</v>
      </c>
      <c r="B463" s="6" t="s">
        <v>1319</v>
      </c>
      <c r="C463" s="6" t="s">
        <v>32</v>
      </c>
      <c r="D463" s="6" t="s">
        <v>33</v>
      </c>
      <c r="E463" s="7">
        <v>45755</v>
      </c>
      <c r="F463" s="8">
        <v>2000000</v>
      </c>
      <c r="G463" s="8">
        <v>50000</v>
      </c>
      <c r="H463" s="6">
        <v>19</v>
      </c>
      <c r="I463" s="6" t="s">
        <v>1320</v>
      </c>
      <c r="J463" s="6" t="s">
        <v>1321</v>
      </c>
    </row>
    <row r="464" spans="1:10" s="6" customFormat="1" ht="409.6" x14ac:dyDescent="0.3">
      <c r="A464" s="6" t="str">
        <f>HYPERLINK("https://grants.gov/search-results-detail/351923","24-528")</f>
        <v>24-528</v>
      </c>
      <c r="B464" s="6" t="s">
        <v>1415</v>
      </c>
      <c r="C464" s="6" t="s">
        <v>32</v>
      </c>
      <c r="D464" s="6" t="s">
        <v>33</v>
      </c>
      <c r="E464" s="7">
        <v>45755</v>
      </c>
      <c r="F464" s="8"/>
      <c r="G464" s="8"/>
      <c r="I464" s="6" t="s">
        <v>1416</v>
      </c>
      <c r="J464" s="6" t="s">
        <v>1417</v>
      </c>
    </row>
    <row r="465" spans="1:10" s="6" customFormat="1" ht="409.6" x14ac:dyDescent="0.3">
      <c r="A465" s="6" t="str">
        <f>HYPERLINK("https://grants.gov/search-results-detail/358036","25-533")</f>
        <v>25-533</v>
      </c>
      <c r="B465" s="6" t="s">
        <v>487</v>
      </c>
      <c r="C465" s="6" t="s">
        <v>32</v>
      </c>
      <c r="D465" s="6" t="s">
        <v>33</v>
      </c>
      <c r="E465" s="7">
        <v>45756</v>
      </c>
      <c r="F465" s="8"/>
      <c r="G465" s="8"/>
      <c r="H465" s="6">
        <v>10</v>
      </c>
      <c r="I465" s="6" t="s">
        <v>488</v>
      </c>
      <c r="J465" s="6" t="s">
        <v>489</v>
      </c>
    </row>
    <row r="466" spans="1:10" s="6" customFormat="1" ht="374.4" x14ac:dyDescent="0.3">
      <c r="A466" s="6" t="str">
        <f>HYPERLINK("https://grants.gov/search-results-detail/357964","25-529")</f>
        <v>25-529</v>
      </c>
      <c r="B466" s="6" t="s">
        <v>576</v>
      </c>
      <c r="C466" s="6" t="s">
        <v>32</v>
      </c>
      <c r="D466" s="6" t="s">
        <v>33</v>
      </c>
      <c r="E466" s="7">
        <v>45757</v>
      </c>
      <c r="F466" s="8"/>
      <c r="G466" s="8"/>
      <c r="I466" s="6" t="s">
        <v>577</v>
      </c>
      <c r="J466" s="6" t="s">
        <v>578</v>
      </c>
    </row>
    <row r="467" spans="1:10" s="6" customFormat="1" ht="409.6" x14ac:dyDescent="0.3">
      <c r="A467" s="6" t="str">
        <f>HYPERLINK("https://grants.gov/search-results-detail/356244","24-600")</f>
        <v>24-600</v>
      </c>
      <c r="B467" s="6" t="s">
        <v>1236</v>
      </c>
      <c r="C467" s="6" t="s">
        <v>32</v>
      </c>
      <c r="D467" s="6" t="s">
        <v>33</v>
      </c>
      <c r="E467" s="7">
        <v>45762</v>
      </c>
      <c r="F467" s="8">
        <v>3000000</v>
      </c>
      <c r="G467" s="8"/>
      <c r="I467" s="6" t="s">
        <v>1237</v>
      </c>
      <c r="J467" s="6" t="s">
        <v>1238</v>
      </c>
    </row>
    <row r="468" spans="1:10" s="6" customFormat="1" ht="409.6" x14ac:dyDescent="0.3">
      <c r="A468" s="6" t="str">
        <f>HYPERLINK("https://grants.gov/search-results-detail/358335","25-535")</f>
        <v>25-535</v>
      </c>
      <c r="B468" s="6" t="s">
        <v>96</v>
      </c>
      <c r="C468" s="6" t="s">
        <v>32</v>
      </c>
      <c r="D468" s="6" t="s">
        <v>33</v>
      </c>
      <c r="E468" s="7">
        <v>45764</v>
      </c>
      <c r="F468" s="8">
        <v>250000</v>
      </c>
      <c r="G468" s="8">
        <v>100000</v>
      </c>
      <c r="H468" s="6">
        <v>75</v>
      </c>
      <c r="I468" s="6" t="s">
        <v>97</v>
      </c>
      <c r="J468" s="6" t="s">
        <v>98</v>
      </c>
    </row>
    <row r="469" spans="1:10" s="6" customFormat="1" ht="409.6" x14ac:dyDescent="0.3">
      <c r="A469" s="6" t="str">
        <f>HYPERLINK("https://grants.gov/search-results-detail/358245","25-534")</f>
        <v>25-534</v>
      </c>
      <c r="B469" s="6" t="s">
        <v>249</v>
      </c>
      <c r="C469" s="6" t="s">
        <v>32</v>
      </c>
      <c r="D469" s="6" t="s">
        <v>33</v>
      </c>
      <c r="E469" s="7">
        <v>45764</v>
      </c>
      <c r="F469" s="8">
        <v>750000</v>
      </c>
      <c r="G469" s="8">
        <v>50000</v>
      </c>
      <c r="I469" s="6" t="s">
        <v>250</v>
      </c>
      <c r="J469" s="6" t="s">
        <v>251</v>
      </c>
    </row>
    <row r="470" spans="1:10" s="6" customFormat="1" ht="409.6" x14ac:dyDescent="0.3">
      <c r="A470" s="6" t="str">
        <f>HYPERLINK("https://grants.gov/search-results-detail/356472","24-608")</f>
        <v>24-608</v>
      </c>
      <c r="B470" s="6" t="s">
        <v>1213</v>
      </c>
      <c r="C470" s="6" t="s">
        <v>32</v>
      </c>
      <c r="D470" s="6" t="s">
        <v>33</v>
      </c>
      <c r="E470" s="7">
        <v>45769</v>
      </c>
      <c r="F470" s="8"/>
      <c r="G470" s="8"/>
      <c r="I470" s="6" t="s">
        <v>1214</v>
      </c>
      <c r="J470" s="6" t="s">
        <v>1215</v>
      </c>
    </row>
    <row r="471" spans="1:10" s="6" customFormat="1" ht="409.6" x14ac:dyDescent="0.3">
      <c r="A471" s="6" t="str">
        <f>HYPERLINK("https://grants.gov/search-results-detail/345334","23-545")</f>
        <v>23-545</v>
      </c>
      <c r="B471" s="6" t="s">
        <v>1555</v>
      </c>
      <c r="C471" s="6" t="s">
        <v>32</v>
      </c>
      <c r="D471" s="6" t="s">
        <v>33</v>
      </c>
      <c r="E471" s="7">
        <v>45772</v>
      </c>
      <c r="F471" s="8"/>
      <c r="G471" s="8"/>
      <c r="H471" s="6">
        <v>4</v>
      </c>
      <c r="I471" s="6" t="s">
        <v>1556</v>
      </c>
      <c r="J471" s="6" t="s">
        <v>1557</v>
      </c>
    </row>
    <row r="472" spans="1:10" s="6" customFormat="1" ht="409.6" x14ac:dyDescent="0.3">
      <c r="A472" s="6" t="str">
        <f>HYPERLINK("https://grants.gov/search-results-detail/334123","PD-21-178Y")</f>
        <v>PD-21-178Y</v>
      </c>
      <c r="B472" s="6" t="s">
        <v>1692</v>
      </c>
      <c r="C472" s="6" t="s">
        <v>32</v>
      </c>
      <c r="D472" s="6" t="s">
        <v>33</v>
      </c>
      <c r="E472" s="7">
        <v>45772</v>
      </c>
      <c r="F472" s="8"/>
      <c r="G472" s="8"/>
      <c r="I472" s="6" t="s">
        <v>48</v>
      </c>
      <c r="J472" s="6" t="s">
        <v>1693</v>
      </c>
    </row>
    <row r="473" spans="1:10" s="6" customFormat="1" ht="288" x14ac:dyDescent="0.3">
      <c r="A473" s="6" t="str">
        <f>HYPERLINK("https://grants.gov/search-results-detail/352795","24-553")</f>
        <v>24-553</v>
      </c>
      <c r="B473" s="6" t="s">
        <v>1347</v>
      </c>
      <c r="C473" s="6" t="s">
        <v>32</v>
      </c>
      <c r="D473" s="6" t="s">
        <v>33</v>
      </c>
      <c r="E473" s="7">
        <v>45776</v>
      </c>
      <c r="F473" s="8">
        <v>2000000</v>
      </c>
      <c r="G473" s="8"/>
      <c r="H473" s="6">
        <v>6</v>
      </c>
      <c r="I473" s="6" t="s">
        <v>1348</v>
      </c>
      <c r="J473" s="6" t="s">
        <v>1349</v>
      </c>
    </row>
    <row r="474" spans="1:10" s="6" customFormat="1" ht="216" x14ac:dyDescent="0.3">
      <c r="A474" s="6" t="str">
        <f>HYPERLINK("https://grants.gov/search-results-detail/353135","24-561")</f>
        <v>24-561</v>
      </c>
      <c r="B474" s="6" t="s">
        <v>1336</v>
      </c>
      <c r="C474" s="6" t="s">
        <v>32</v>
      </c>
      <c r="D474" s="6" t="s">
        <v>33</v>
      </c>
      <c r="E474" s="7">
        <v>45782</v>
      </c>
      <c r="F474" s="8"/>
      <c r="G474" s="8"/>
      <c r="H474" s="6">
        <v>10</v>
      </c>
      <c r="I474" s="6" t="s">
        <v>1111</v>
      </c>
      <c r="J474" s="6" t="s">
        <v>1337</v>
      </c>
    </row>
    <row r="475" spans="1:10" s="6" customFormat="1" ht="409.6" x14ac:dyDescent="0.3">
      <c r="A475" s="6" t="str">
        <f>HYPERLINK("https://grants.gov/search-results-detail/354339","24-576")</f>
        <v>24-576</v>
      </c>
      <c r="B475" s="6" t="s">
        <v>1300</v>
      </c>
      <c r="C475" s="6" t="s">
        <v>32</v>
      </c>
      <c r="D475" s="6" t="s">
        <v>33</v>
      </c>
      <c r="E475" s="7">
        <v>45786</v>
      </c>
      <c r="F475" s="8"/>
      <c r="G475" s="8"/>
      <c r="H475" s="6">
        <v>4</v>
      </c>
      <c r="I475" s="6" t="s">
        <v>1301</v>
      </c>
      <c r="J475" s="6" t="s">
        <v>1302</v>
      </c>
    </row>
    <row r="476" spans="1:10" s="6" customFormat="1" ht="409.6" x14ac:dyDescent="0.3">
      <c r="A476" s="6" t="str">
        <f>HYPERLINK("https://grants.gov/search-results-detail/342785","22-622")</f>
        <v>22-622</v>
      </c>
      <c r="B476" s="6" t="s">
        <v>1604</v>
      </c>
      <c r="C476" s="6" t="s">
        <v>32</v>
      </c>
      <c r="D476" s="6" t="s">
        <v>33</v>
      </c>
      <c r="E476" s="7">
        <v>45790</v>
      </c>
      <c r="F476" s="8"/>
      <c r="G476" s="8"/>
      <c r="H476" s="6">
        <v>15</v>
      </c>
      <c r="I476" s="6" t="s">
        <v>1605</v>
      </c>
      <c r="J476" s="6" t="s">
        <v>1606</v>
      </c>
    </row>
    <row r="477" spans="1:10" s="6" customFormat="1" ht="409.6" x14ac:dyDescent="0.3">
      <c r="A477" s="6" t="str">
        <f>HYPERLINK("https://grants.gov/search-results-detail/357702","25-521")</f>
        <v>25-521</v>
      </c>
      <c r="B477" s="6" t="s">
        <v>812</v>
      </c>
      <c r="C477" s="6" t="s">
        <v>32</v>
      </c>
      <c r="D477" s="6" t="s">
        <v>33</v>
      </c>
      <c r="E477" s="7">
        <v>45792</v>
      </c>
      <c r="F477" s="8">
        <v>30000000</v>
      </c>
      <c r="G477" s="8">
        <v>18000000</v>
      </c>
      <c r="H477" s="6">
        <v>3</v>
      </c>
      <c r="I477" s="6" t="s">
        <v>813</v>
      </c>
      <c r="J477" s="6" t="s">
        <v>814</v>
      </c>
    </row>
    <row r="478" spans="1:10" s="6" customFormat="1" ht="409.6" x14ac:dyDescent="0.3">
      <c r="A478" s="6" t="str">
        <f>HYPERLINK("https://grants.gov/search-results-detail/328599","20-597")</f>
        <v>20-597</v>
      </c>
      <c r="B478" s="6" t="s">
        <v>1758</v>
      </c>
      <c r="C478" s="6" t="s">
        <v>32</v>
      </c>
      <c r="D478" s="6" t="s">
        <v>33</v>
      </c>
      <c r="E478" s="7">
        <v>45792</v>
      </c>
      <c r="F478" s="8"/>
      <c r="G478" s="8"/>
      <c r="I478" s="6" t="s">
        <v>1759</v>
      </c>
      <c r="J478" s="6" t="s">
        <v>1760</v>
      </c>
    </row>
    <row r="479" spans="1:10" s="6" customFormat="1" ht="409.6" x14ac:dyDescent="0.3">
      <c r="A479" s="6" t="str">
        <f>HYPERLINK("https://grants.gov/search-results-detail/358403","14-579")</f>
        <v>14-579</v>
      </c>
      <c r="B479" s="6" t="s">
        <v>31</v>
      </c>
      <c r="C479" s="6" t="s">
        <v>32</v>
      </c>
      <c r="D479" s="6" t="s">
        <v>33</v>
      </c>
      <c r="F479" s="8"/>
      <c r="G479" s="8"/>
      <c r="I479" s="6" t="s">
        <v>34</v>
      </c>
      <c r="J479" s="6" t="s">
        <v>35</v>
      </c>
    </row>
    <row r="480" spans="1:10" s="6" customFormat="1" ht="409.6" x14ac:dyDescent="0.3">
      <c r="A480" s="6" t="str">
        <f>HYPERLINK("https://grants.gov/search-results-detail/358397","PD-25-342Y")</f>
        <v>PD-25-342Y</v>
      </c>
      <c r="B480" s="6" t="s">
        <v>47</v>
      </c>
      <c r="C480" s="6" t="s">
        <v>32</v>
      </c>
      <c r="D480" s="6" t="s">
        <v>33</v>
      </c>
      <c r="F480" s="8"/>
      <c r="G480" s="8"/>
      <c r="I480" s="6" t="s">
        <v>48</v>
      </c>
      <c r="J480" s="6" t="s">
        <v>49</v>
      </c>
    </row>
    <row r="481" spans="1:10" s="6" customFormat="1" ht="230.4" x14ac:dyDescent="0.3">
      <c r="A481" s="6" t="str">
        <f>HYPERLINK("https://grants.gov/search-results-detail/357609","25-516")</f>
        <v>25-516</v>
      </c>
      <c r="B481" s="6" t="s">
        <v>863</v>
      </c>
      <c r="C481" s="6" t="s">
        <v>32</v>
      </c>
      <c r="D481" s="6" t="s">
        <v>33</v>
      </c>
      <c r="F481" s="8"/>
      <c r="G481" s="8"/>
      <c r="H481" s="6">
        <v>60</v>
      </c>
      <c r="I481" s="6" t="s">
        <v>541</v>
      </c>
      <c r="J481" s="6" t="s">
        <v>864</v>
      </c>
    </row>
    <row r="482" spans="1:10" s="6" customFormat="1" ht="230.4" x14ac:dyDescent="0.3">
      <c r="A482" s="6" t="str">
        <f>HYPERLINK("https://grants.gov/search-results-detail/357578","25-518")</f>
        <v>25-518</v>
      </c>
      <c r="B482" s="6" t="s">
        <v>894</v>
      </c>
      <c r="C482" s="6" t="s">
        <v>32</v>
      </c>
      <c r="D482" s="6" t="s">
        <v>33</v>
      </c>
      <c r="F482" s="8"/>
      <c r="G482" s="8"/>
      <c r="H482" s="6">
        <v>75</v>
      </c>
      <c r="I482" s="6" t="s">
        <v>541</v>
      </c>
      <c r="J482" s="6" t="s">
        <v>895</v>
      </c>
    </row>
    <row r="483" spans="1:10" s="6" customFormat="1" ht="230.4" x14ac:dyDescent="0.3">
      <c r="A483" s="6" t="str">
        <f>HYPERLINK("https://grants.gov/search-results-detail/357580","25-517")</f>
        <v>25-517</v>
      </c>
      <c r="B483" s="6" t="s">
        <v>896</v>
      </c>
      <c r="C483" s="6" t="s">
        <v>32</v>
      </c>
      <c r="D483" s="6" t="s">
        <v>33</v>
      </c>
      <c r="F483" s="8"/>
      <c r="G483" s="8"/>
      <c r="I483" s="6" t="s">
        <v>541</v>
      </c>
      <c r="J483" s="6" t="s">
        <v>897</v>
      </c>
    </row>
    <row r="484" spans="1:10" s="6" customFormat="1" ht="230.4" x14ac:dyDescent="0.3">
      <c r="A484" s="6" t="str">
        <f>HYPERLINK("https://grants.gov/search-results-detail/357579","25-519")</f>
        <v>25-519</v>
      </c>
      <c r="B484" s="6" t="s">
        <v>898</v>
      </c>
      <c r="C484" s="6" t="s">
        <v>32</v>
      </c>
      <c r="D484" s="6" t="s">
        <v>33</v>
      </c>
      <c r="F484" s="8"/>
      <c r="G484" s="8"/>
      <c r="H484" s="6">
        <v>80</v>
      </c>
      <c r="I484" s="6" t="s">
        <v>541</v>
      </c>
      <c r="J484" s="6" t="s">
        <v>899</v>
      </c>
    </row>
    <row r="485" spans="1:10" s="6" customFormat="1" ht="409.6" x14ac:dyDescent="0.3">
      <c r="A485" s="6" t="str">
        <f>HYPERLINK("https://grants.gov/search-results-detail/356536","PD-24-7789")</f>
        <v>PD-24-7789</v>
      </c>
      <c r="B485" s="6" t="s">
        <v>1205</v>
      </c>
      <c r="C485" s="6" t="s">
        <v>32</v>
      </c>
      <c r="D485" s="6" t="s">
        <v>33</v>
      </c>
      <c r="F485" s="8"/>
      <c r="G485" s="8"/>
      <c r="I485" s="6" t="s">
        <v>48</v>
      </c>
      <c r="J485" s="6" t="s">
        <v>1206</v>
      </c>
    </row>
    <row r="486" spans="1:10" s="6" customFormat="1" ht="331.2" x14ac:dyDescent="0.3">
      <c r="A486" s="6" t="str">
        <f>HYPERLINK("https://grants.gov/search-results-detail/356537","PD-24-7791")</f>
        <v>PD-24-7791</v>
      </c>
      <c r="B486" s="6" t="s">
        <v>1207</v>
      </c>
      <c r="C486" s="6" t="s">
        <v>32</v>
      </c>
      <c r="D486" s="6" t="s">
        <v>33</v>
      </c>
      <c r="F486" s="8"/>
      <c r="G486" s="8"/>
      <c r="I486" s="6" t="s">
        <v>48</v>
      </c>
      <c r="J486" s="6" t="s">
        <v>1208</v>
      </c>
    </row>
    <row r="487" spans="1:10" s="6" customFormat="1" ht="409.6" x14ac:dyDescent="0.3">
      <c r="A487" s="6" t="str">
        <f>HYPERLINK("https://grants.gov/search-results-detail/356538","PD-24-7790")</f>
        <v>PD-24-7790</v>
      </c>
      <c r="B487" s="6" t="s">
        <v>1209</v>
      </c>
      <c r="C487" s="6" t="s">
        <v>32</v>
      </c>
      <c r="D487" s="6" t="s">
        <v>33</v>
      </c>
      <c r="F487" s="8"/>
      <c r="G487" s="8"/>
      <c r="I487" s="6" t="s">
        <v>48</v>
      </c>
      <c r="J487" s="6" t="s">
        <v>1210</v>
      </c>
    </row>
    <row r="488" spans="1:10" s="6" customFormat="1" ht="409.6" x14ac:dyDescent="0.3">
      <c r="A488" s="6" t="str">
        <f>HYPERLINK("https://grants.gov/search-results-detail/356425","PD-24-7298")</f>
        <v>PD-24-7298</v>
      </c>
      <c r="B488" s="6" t="s">
        <v>1226</v>
      </c>
      <c r="C488" s="6" t="s">
        <v>32</v>
      </c>
      <c r="D488" s="6" t="s">
        <v>33</v>
      </c>
      <c r="F488" s="8"/>
      <c r="G488" s="8">
        <v>200000</v>
      </c>
      <c r="I488" s="6" t="s">
        <v>48</v>
      </c>
      <c r="J488" s="6" t="s">
        <v>1227</v>
      </c>
    </row>
    <row r="489" spans="1:10" s="6" customFormat="1" ht="409.6" x14ac:dyDescent="0.3">
      <c r="A489" s="6" t="str">
        <f>HYPERLINK("https://grants.gov/search-results-detail/356055","PD-24-8084")</f>
        <v>PD-24-8084</v>
      </c>
      <c r="B489" s="6" t="s">
        <v>1259</v>
      </c>
      <c r="C489" s="6" t="s">
        <v>32</v>
      </c>
      <c r="D489" s="6" t="s">
        <v>33</v>
      </c>
      <c r="F489" s="8"/>
      <c r="G489" s="8"/>
      <c r="I489" s="6" t="s">
        <v>48</v>
      </c>
      <c r="J489" s="6" t="s">
        <v>1260</v>
      </c>
    </row>
    <row r="490" spans="1:10" s="6" customFormat="1" ht="409.6" x14ac:dyDescent="0.3">
      <c r="A490" s="6" t="str">
        <f>HYPERLINK("https://grants.gov/search-results-detail/353475","PD-24-7414")</f>
        <v>PD-24-7414</v>
      </c>
      <c r="B490" s="6" t="s">
        <v>1314</v>
      </c>
      <c r="C490" s="6" t="s">
        <v>32</v>
      </c>
      <c r="D490" s="6" t="s">
        <v>33</v>
      </c>
      <c r="F490" s="8">
        <v>600000</v>
      </c>
      <c r="G490" s="8">
        <v>50000</v>
      </c>
      <c r="H490" s="6">
        <v>10</v>
      </c>
      <c r="I490" s="6" t="s">
        <v>48</v>
      </c>
      <c r="J490" s="6" t="s">
        <v>1315</v>
      </c>
    </row>
    <row r="491" spans="1:10" s="6" customFormat="1" ht="403.2" x14ac:dyDescent="0.3">
      <c r="A491" s="6" t="str">
        <f>HYPERLINK("https://grants.gov/search-results-detail/352499","24-546")</f>
        <v>24-546</v>
      </c>
      <c r="B491" s="6" t="s">
        <v>1354</v>
      </c>
      <c r="C491" s="6" t="s">
        <v>32</v>
      </c>
      <c r="D491" s="6" t="s">
        <v>33</v>
      </c>
      <c r="F491" s="8"/>
      <c r="G491" s="8"/>
      <c r="I491" s="6" t="s">
        <v>1355</v>
      </c>
      <c r="J491" s="6" t="s">
        <v>1356</v>
      </c>
    </row>
    <row r="492" spans="1:10" s="6" customFormat="1" ht="331.2" x14ac:dyDescent="0.3">
      <c r="A492" s="6" t="str">
        <f>HYPERLINK("https://grants.gov/search-results-detail/352500","24-547")</f>
        <v>24-547</v>
      </c>
      <c r="B492" s="6" t="s">
        <v>1357</v>
      </c>
      <c r="C492" s="6" t="s">
        <v>32</v>
      </c>
      <c r="D492" s="6" t="s">
        <v>33</v>
      </c>
      <c r="F492" s="8"/>
      <c r="G492" s="8"/>
      <c r="H492" s="6">
        <v>20</v>
      </c>
      <c r="I492" s="6" t="s">
        <v>1355</v>
      </c>
      <c r="J492" s="6" t="s">
        <v>1358</v>
      </c>
    </row>
    <row r="493" spans="1:10" s="6" customFormat="1" ht="409.6" x14ac:dyDescent="0.3">
      <c r="A493" s="6" t="str">
        <f>HYPERLINK("https://grants.gov/search-results-detail/352454","24-543")</f>
        <v>24-543</v>
      </c>
      <c r="B493" s="6" t="s">
        <v>1359</v>
      </c>
      <c r="C493" s="6" t="s">
        <v>32</v>
      </c>
      <c r="D493" s="6" t="s">
        <v>33</v>
      </c>
      <c r="F493" s="8">
        <v>5000000</v>
      </c>
      <c r="G493" s="8">
        <v>5000</v>
      </c>
      <c r="I493" s="6" t="s">
        <v>1355</v>
      </c>
      <c r="J493" s="6" t="s">
        <v>1360</v>
      </c>
    </row>
    <row r="494" spans="1:10" s="6" customFormat="1" ht="409.6" x14ac:dyDescent="0.3">
      <c r="A494" s="6" t="str">
        <f>HYPERLINK("https://grants.gov/search-results-detail/352339","24-540")</f>
        <v>24-540</v>
      </c>
      <c r="B494" s="6" t="s">
        <v>1363</v>
      </c>
      <c r="C494" s="6" t="s">
        <v>32</v>
      </c>
      <c r="D494" s="6" t="s">
        <v>33</v>
      </c>
      <c r="F494" s="8">
        <v>200000</v>
      </c>
      <c r="G494" s="8"/>
      <c r="H494" s="6">
        <v>20</v>
      </c>
      <c r="I494" s="6" t="s">
        <v>1364</v>
      </c>
      <c r="J494" s="6" t="s">
        <v>1365</v>
      </c>
    </row>
    <row r="495" spans="1:10" s="6" customFormat="1" ht="409.6" x14ac:dyDescent="0.3">
      <c r="A495" s="6" t="str">
        <f>HYPERLINK("https://grants.gov/search-results-detail/352338","24-539")</f>
        <v>24-539</v>
      </c>
      <c r="B495" s="6" t="s">
        <v>1366</v>
      </c>
      <c r="C495" s="6" t="s">
        <v>32</v>
      </c>
      <c r="D495" s="6" t="s">
        <v>33</v>
      </c>
      <c r="F495" s="8"/>
      <c r="G495" s="8"/>
      <c r="I495" s="6" t="s">
        <v>1355</v>
      </c>
      <c r="J495" s="6" t="s">
        <v>1367</v>
      </c>
    </row>
    <row r="496" spans="1:10" s="6" customFormat="1" ht="409.6" x14ac:dyDescent="0.3">
      <c r="A496" s="6" t="str">
        <f>HYPERLINK("https://grants.gov/search-results-detail/351273","PD-19-058Y")</f>
        <v>PD-19-058Y</v>
      </c>
      <c r="B496" s="6" t="s">
        <v>1421</v>
      </c>
      <c r="C496" s="6" t="s">
        <v>32</v>
      </c>
      <c r="D496" s="6" t="s">
        <v>33</v>
      </c>
      <c r="F496" s="8"/>
      <c r="G496" s="8"/>
      <c r="I496" s="6" t="s">
        <v>48</v>
      </c>
      <c r="J496" s="6" t="s">
        <v>1422</v>
      </c>
    </row>
    <row r="497" spans="1:10" s="6" customFormat="1" ht="409.6" x14ac:dyDescent="0.3">
      <c r="A497" s="6" t="str">
        <f>HYPERLINK("https://grants.gov/search-results-detail/350469","PD-23-277Y")</f>
        <v>PD-23-277Y</v>
      </c>
      <c r="B497" s="6" t="s">
        <v>1439</v>
      </c>
      <c r="C497" s="6" t="s">
        <v>32</v>
      </c>
      <c r="D497" s="6" t="s">
        <v>33</v>
      </c>
      <c r="F497" s="8">
        <v>2000000</v>
      </c>
      <c r="G497" s="8">
        <v>400000</v>
      </c>
      <c r="H497" s="6">
        <v>5</v>
      </c>
      <c r="I497" s="6" t="s">
        <v>48</v>
      </c>
      <c r="J497" s="6" t="s">
        <v>1440</v>
      </c>
    </row>
    <row r="498" spans="1:10" s="6" customFormat="1" ht="409.6" x14ac:dyDescent="0.3">
      <c r="A498" s="6" t="str">
        <f>HYPERLINK("https://grants.gov/search-results-detail/350369","23-628")</f>
        <v>23-628</v>
      </c>
      <c r="B498" s="6" t="s">
        <v>1441</v>
      </c>
      <c r="C498" s="6" t="s">
        <v>32</v>
      </c>
      <c r="D498" s="6" t="s">
        <v>33</v>
      </c>
      <c r="F498" s="8"/>
      <c r="G498" s="8">
        <v>300000</v>
      </c>
      <c r="H498" s="6">
        <v>25</v>
      </c>
      <c r="I498" s="6" t="s">
        <v>1442</v>
      </c>
      <c r="J498" s="6" t="s">
        <v>1443</v>
      </c>
    </row>
    <row r="499" spans="1:10" s="6" customFormat="1" ht="409.6" x14ac:dyDescent="0.3">
      <c r="A499" s="6" t="str">
        <f>HYPERLINK("https://grants.gov/search-results-detail/350230","PD-24-1340")</f>
        <v>PD-24-1340</v>
      </c>
      <c r="B499" s="6" t="s">
        <v>1444</v>
      </c>
      <c r="C499" s="6" t="s">
        <v>32</v>
      </c>
      <c r="D499" s="6" t="s">
        <v>33</v>
      </c>
      <c r="F499" s="8"/>
      <c r="G499" s="8"/>
      <c r="I499" s="6" t="s">
        <v>48</v>
      </c>
      <c r="J499" s="6" t="s">
        <v>1445</v>
      </c>
    </row>
    <row r="500" spans="1:10" s="6" customFormat="1" ht="409.6" x14ac:dyDescent="0.3">
      <c r="A500" s="6" t="str">
        <f>HYPERLINK("https://grants.gov/search-results-detail/349654","23-611")</f>
        <v>23-611</v>
      </c>
      <c r="B500" s="6" t="s">
        <v>1446</v>
      </c>
      <c r="C500" s="6" t="s">
        <v>32</v>
      </c>
      <c r="D500" s="6" t="s">
        <v>33</v>
      </c>
      <c r="F500" s="8"/>
      <c r="G500" s="8"/>
      <c r="I500" s="6" t="s">
        <v>1447</v>
      </c>
      <c r="J500" s="6" t="s">
        <v>1448</v>
      </c>
    </row>
    <row r="501" spans="1:10" s="6" customFormat="1" ht="409.6" x14ac:dyDescent="0.3">
      <c r="A501" s="6" t="str">
        <f>HYPERLINK("https://grants.gov/search-results-detail/349655","23-612")</f>
        <v>23-612</v>
      </c>
      <c r="B501" s="6" t="s">
        <v>1449</v>
      </c>
      <c r="C501" s="6" t="s">
        <v>32</v>
      </c>
      <c r="D501" s="6" t="s">
        <v>33</v>
      </c>
      <c r="F501" s="8"/>
      <c r="G501" s="8"/>
      <c r="I501" s="6" t="s">
        <v>1447</v>
      </c>
      <c r="J501" s="6" t="s">
        <v>1450</v>
      </c>
    </row>
    <row r="502" spans="1:10" s="6" customFormat="1" ht="409.6" x14ac:dyDescent="0.3">
      <c r="A502" s="6" t="str">
        <f>HYPERLINK("https://grants.gov/search-results-detail/349109","23-602")</f>
        <v>23-602</v>
      </c>
      <c r="B502" s="6" t="s">
        <v>1459</v>
      </c>
      <c r="C502" s="6" t="s">
        <v>32</v>
      </c>
      <c r="D502" s="6" t="s">
        <v>33</v>
      </c>
      <c r="F502" s="8"/>
      <c r="G502" s="8"/>
      <c r="H502" s="6">
        <v>15</v>
      </c>
      <c r="I502" s="6" t="s">
        <v>48</v>
      </c>
      <c r="J502" s="6" t="s">
        <v>1460</v>
      </c>
    </row>
    <row r="503" spans="1:10" s="6" customFormat="1" ht="409.6" x14ac:dyDescent="0.3">
      <c r="A503" s="6" t="str">
        <f>HYPERLINK("https://grants.gov/search-results-detail/348932","PD-23-1401")</f>
        <v>PD-23-1401</v>
      </c>
      <c r="B503" s="6" t="s">
        <v>1461</v>
      </c>
      <c r="C503" s="6" t="s">
        <v>32</v>
      </c>
      <c r="D503" s="6" t="s">
        <v>33</v>
      </c>
      <c r="F503" s="8"/>
      <c r="G503" s="8"/>
      <c r="I503" s="6" t="s">
        <v>48</v>
      </c>
      <c r="J503" s="6" t="s">
        <v>1462</v>
      </c>
    </row>
    <row r="504" spans="1:10" s="6" customFormat="1" ht="409.6" x14ac:dyDescent="0.3">
      <c r="A504" s="6" t="str">
        <f>HYPERLINK("https://grants.gov/search-results-detail/348793","PD-23-1403")</f>
        <v>PD-23-1403</v>
      </c>
      <c r="B504" s="6" t="s">
        <v>1469</v>
      </c>
      <c r="C504" s="6" t="s">
        <v>32</v>
      </c>
      <c r="D504" s="6" t="s">
        <v>33</v>
      </c>
      <c r="F504" s="8"/>
      <c r="G504" s="8"/>
      <c r="I504" s="6" t="s">
        <v>48</v>
      </c>
      <c r="J504" s="6" t="s">
        <v>1470</v>
      </c>
    </row>
    <row r="505" spans="1:10" s="6" customFormat="1" ht="409.6" x14ac:dyDescent="0.3">
      <c r="A505" s="6" t="str">
        <f>HYPERLINK("https://grants.gov/search-results-detail/348794","PD-23-1491")</f>
        <v>PD-23-1491</v>
      </c>
      <c r="B505" s="6" t="s">
        <v>1471</v>
      </c>
      <c r="C505" s="6" t="s">
        <v>32</v>
      </c>
      <c r="D505" s="6" t="s">
        <v>33</v>
      </c>
      <c r="F505" s="8"/>
      <c r="G505" s="8"/>
      <c r="I505" s="6" t="s">
        <v>48</v>
      </c>
      <c r="J505" s="6" t="s">
        <v>1472</v>
      </c>
    </row>
    <row r="506" spans="1:10" s="6" customFormat="1" ht="409.6" x14ac:dyDescent="0.3">
      <c r="A506" s="6" t="str">
        <f>HYPERLINK("https://grants.gov/search-results-detail/348795","PD-23-5342")</f>
        <v>PD-23-5342</v>
      </c>
      <c r="B506" s="6" t="s">
        <v>1473</v>
      </c>
      <c r="C506" s="6" t="s">
        <v>32</v>
      </c>
      <c r="D506" s="6" t="s">
        <v>33</v>
      </c>
      <c r="F506" s="8"/>
      <c r="G506" s="8"/>
      <c r="I506" s="6" t="s">
        <v>48</v>
      </c>
      <c r="J506" s="6" t="s">
        <v>1474</v>
      </c>
    </row>
    <row r="507" spans="1:10" s="6" customFormat="1" ht="409.6" x14ac:dyDescent="0.3">
      <c r="A507" s="6" t="str">
        <f>HYPERLINK("https://grants.gov/search-results-detail/348796","PD-23-5345")</f>
        <v>PD-23-5345</v>
      </c>
      <c r="B507" s="6" t="s">
        <v>1475</v>
      </c>
      <c r="C507" s="6" t="s">
        <v>32</v>
      </c>
      <c r="D507" s="6" t="s">
        <v>33</v>
      </c>
      <c r="F507" s="8"/>
      <c r="G507" s="8"/>
      <c r="I507" s="6" t="s">
        <v>48</v>
      </c>
      <c r="J507" s="6" t="s">
        <v>1476</v>
      </c>
    </row>
    <row r="508" spans="1:10" s="6" customFormat="1" ht="409.6" x14ac:dyDescent="0.3">
      <c r="A508" s="6" t="str">
        <f>HYPERLINK("https://grants.gov/search-results-detail/348258","PD-18-7607")</f>
        <v>PD-18-7607</v>
      </c>
      <c r="B508" s="6" t="s">
        <v>1477</v>
      </c>
      <c r="C508" s="6" t="s">
        <v>32</v>
      </c>
      <c r="D508" s="6" t="s">
        <v>33</v>
      </c>
      <c r="F508" s="8"/>
      <c r="G508" s="8"/>
      <c r="I508" s="6" t="s">
        <v>48</v>
      </c>
      <c r="J508" s="6" t="s">
        <v>1478</v>
      </c>
    </row>
    <row r="509" spans="1:10" s="6" customFormat="1" ht="273.60000000000002" x14ac:dyDescent="0.3">
      <c r="A509" s="6" t="str">
        <f>HYPERLINK("https://grants.gov/search-results-detail/347679","23-580")</f>
        <v>23-580</v>
      </c>
      <c r="B509" s="6" t="s">
        <v>1493</v>
      </c>
      <c r="C509" s="6" t="s">
        <v>32</v>
      </c>
      <c r="D509" s="6" t="s">
        <v>33</v>
      </c>
      <c r="F509" s="8">
        <v>1200000</v>
      </c>
      <c r="G509" s="8">
        <v>25000</v>
      </c>
      <c r="H509" s="6">
        <v>60</v>
      </c>
      <c r="I509" s="6" t="s">
        <v>1355</v>
      </c>
      <c r="J509" s="6" t="s">
        <v>1494</v>
      </c>
    </row>
    <row r="510" spans="1:10" s="6" customFormat="1" ht="331.2" x14ac:dyDescent="0.3">
      <c r="A510" s="6" t="str">
        <f>HYPERLINK("https://grants.gov/search-results-detail/347680","23-578")</f>
        <v>23-578</v>
      </c>
      <c r="B510" s="6" t="s">
        <v>1495</v>
      </c>
      <c r="C510" s="6" t="s">
        <v>32</v>
      </c>
      <c r="D510" s="6" t="s">
        <v>33</v>
      </c>
      <c r="F510" s="8">
        <v>800000</v>
      </c>
      <c r="G510" s="8">
        <v>300000</v>
      </c>
      <c r="H510" s="6">
        <v>40</v>
      </c>
      <c r="I510" s="6" t="s">
        <v>1496</v>
      </c>
      <c r="J510" s="6" t="s">
        <v>1497</v>
      </c>
    </row>
    <row r="511" spans="1:10" s="6" customFormat="1" ht="409.6" x14ac:dyDescent="0.3">
      <c r="A511" s="6" t="str">
        <f>HYPERLINK("https://grants.gov/search-results-detail/347509","PD-23-1407")</f>
        <v>PD-23-1407</v>
      </c>
      <c r="B511" s="6" t="s">
        <v>1501</v>
      </c>
      <c r="C511" s="6" t="s">
        <v>32</v>
      </c>
      <c r="D511" s="6" t="s">
        <v>33</v>
      </c>
      <c r="F511" s="8"/>
      <c r="G511" s="8"/>
      <c r="I511" s="6" t="s">
        <v>48</v>
      </c>
      <c r="J511" s="6" t="s">
        <v>1502</v>
      </c>
    </row>
    <row r="512" spans="1:10" s="6" customFormat="1" ht="409.6" x14ac:dyDescent="0.3">
      <c r="A512" s="6" t="str">
        <f>HYPERLINK("https://grants.gov/search-results-detail/347323","PD-23-1179")</f>
        <v>PD-23-1179</v>
      </c>
      <c r="B512" s="6" t="s">
        <v>1509</v>
      </c>
      <c r="C512" s="6" t="s">
        <v>32</v>
      </c>
      <c r="D512" s="6" t="s">
        <v>33</v>
      </c>
      <c r="F512" s="8"/>
      <c r="G512" s="8"/>
      <c r="H512" s="6">
        <v>100</v>
      </c>
      <c r="I512" s="6" t="s">
        <v>48</v>
      </c>
      <c r="J512" s="6" t="s">
        <v>1510</v>
      </c>
    </row>
    <row r="513" spans="1:10" s="6" customFormat="1" ht="409.6" x14ac:dyDescent="0.3">
      <c r="A513" s="6" t="str">
        <f>HYPERLINK("https://grants.gov/search-results-detail/347324","PD-23-1406")</f>
        <v>PD-23-1406</v>
      </c>
      <c r="B513" s="6" t="s">
        <v>1511</v>
      </c>
      <c r="C513" s="6" t="s">
        <v>32</v>
      </c>
      <c r="D513" s="6" t="s">
        <v>33</v>
      </c>
      <c r="F513" s="8"/>
      <c r="G513" s="8"/>
      <c r="I513" s="6" t="s">
        <v>48</v>
      </c>
      <c r="J513" s="6" t="s">
        <v>1512</v>
      </c>
    </row>
    <row r="514" spans="1:10" s="6" customFormat="1" ht="409.6" x14ac:dyDescent="0.3">
      <c r="A514" s="6" t="str">
        <f>HYPERLINK("https://grants.gov/search-results-detail/347325","PD-23-1415")</f>
        <v>PD-23-1415</v>
      </c>
      <c r="B514" s="6" t="s">
        <v>1513</v>
      </c>
      <c r="C514" s="6" t="s">
        <v>32</v>
      </c>
      <c r="D514" s="6" t="s">
        <v>33</v>
      </c>
      <c r="F514" s="8"/>
      <c r="G514" s="8"/>
      <c r="I514" s="6" t="s">
        <v>48</v>
      </c>
      <c r="J514" s="6" t="s">
        <v>1514</v>
      </c>
    </row>
    <row r="515" spans="1:10" s="6" customFormat="1" ht="409.6" x14ac:dyDescent="0.3">
      <c r="A515" s="6" t="str">
        <f>HYPERLINK("https://grants.gov/search-results-detail/347326","PD-23-1417")</f>
        <v>PD-23-1417</v>
      </c>
      <c r="B515" s="6" t="s">
        <v>1515</v>
      </c>
      <c r="C515" s="6" t="s">
        <v>32</v>
      </c>
      <c r="D515" s="6" t="s">
        <v>33</v>
      </c>
      <c r="F515" s="8"/>
      <c r="G515" s="8"/>
      <c r="H515" s="6">
        <v>113</v>
      </c>
      <c r="I515" s="6" t="s">
        <v>48</v>
      </c>
      <c r="J515" s="6" t="s">
        <v>1516</v>
      </c>
    </row>
    <row r="516" spans="1:10" s="6" customFormat="1" ht="409.6" x14ac:dyDescent="0.3">
      <c r="A516" s="6" t="str">
        <f>HYPERLINK("https://grants.gov/search-results-detail/347327","PD-23-7236")</f>
        <v>PD-23-7236</v>
      </c>
      <c r="B516" s="6" t="s">
        <v>1517</v>
      </c>
      <c r="C516" s="6" t="s">
        <v>32</v>
      </c>
      <c r="D516" s="6" t="s">
        <v>33</v>
      </c>
      <c r="F516" s="8"/>
      <c r="G516" s="8"/>
      <c r="I516" s="6" t="s">
        <v>48</v>
      </c>
      <c r="J516" s="6" t="s">
        <v>1518</v>
      </c>
    </row>
    <row r="517" spans="1:10" s="6" customFormat="1" ht="409.6" x14ac:dyDescent="0.3">
      <c r="A517" s="6" t="str">
        <f>HYPERLINK("https://grants.gov/search-results-detail/347328","PD-23-7643")</f>
        <v>PD-23-7643</v>
      </c>
      <c r="B517" s="6" t="s">
        <v>1519</v>
      </c>
      <c r="C517" s="6" t="s">
        <v>32</v>
      </c>
      <c r="D517" s="6" t="s">
        <v>33</v>
      </c>
      <c r="F517" s="8"/>
      <c r="G517" s="8"/>
      <c r="H517" s="6">
        <v>103</v>
      </c>
      <c r="I517" s="6" t="s">
        <v>48</v>
      </c>
      <c r="J517" s="6" t="s">
        <v>1520</v>
      </c>
    </row>
    <row r="518" spans="1:10" s="6" customFormat="1" ht="409.6" x14ac:dyDescent="0.3">
      <c r="A518" s="6" t="str">
        <f>HYPERLINK("https://grants.gov/search-results-detail/347329","PD-23-7644")</f>
        <v>PD-23-7644</v>
      </c>
      <c r="B518" s="6" t="s">
        <v>1521</v>
      </c>
      <c r="C518" s="6" t="s">
        <v>32</v>
      </c>
      <c r="D518" s="6" t="s">
        <v>33</v>
      </c>
      <c r="F518" s="8"/>
      <c r="G518" s="8"/>
      <c r="I518" s="6" t="s">
        <v>48</v>
      </c>
      <c r="J518" s="6" t="s">
        <v>1522</v>
      </c>
    </row>
    <row r="519" spans="1:10" s="6" customFormat="1" ht="409.6" x14ac:dyDescent="0.3">
      <c r="A519" s="6" t="str">
        <f>HYPERLINK("https://grants.gov/search-results-detail/347020","PD-23-1443")</f>
        <v>PD-23-1443</v>
      </c>
      <c r="B519" s="6" t="s">
        <v>1523</v>
      </c>
      <c r="C519" s="6" t="s">
        <v>32</v>
      </c>
      <c r="D519" s="6" t="s">
        <v>33</v>
      </c>
      <c r="F519" s="8"/>
      <c r="G519" s="8"/>
      <c r="I519" s="6" t="s">
        <v>48</v>
      </c>
      <c r="J519" s="6" t="s">
        <v>1524</v>
      </c>
    </row>
    <row r="520" spans="1:10" s="6" customFormat="1" ht="409.6" x14ac:dyDescent="0.3">
      <c r="A520" s="6" t="str">
        <f>HYPERLINK("https://grants.gov/search-results-detail/346204","PD-18-7564")</f>
        <v>PD-18-7564</v>
      </c>
      <c r="B520" s="6" t="s">
        <v>1536</v>
      </c>
      <c r="C520" s="6" t="s">
        <v>32</v>
      </c>
      <c r="D520" s="6" t="s">
        <v>33</v>
      </c>
      <c r="F520" s="8"/>
      <c r="G520" s="8"/>
      <c r="I520" s="6" t="s">
        <v>48</v>
      </c>
      <c r="J520" s="6" t="s">
        <v>1537</v>
      </c>
    </row>
    <row r="521" spans="1:10" s="6" customFormat="1" ht="409.6" x14ac:dyDescent="0.3">
      <c r="A521" s="6" t="str">
        <f>HYPERLINK("https://grants.gov/search-results-detail/346203","PD-23-221Y")</f>
        <v>PD-23-221Y</v>
      </c>
      <c r="B521" s="6" t="s">
        <v>1538</v>
      </c>
      <c r="C521" s="6" t="s">
        <v>32</v>
      </c>
      <c r="D521" s="6" t="s">
        <v>33</v>
      </c>
      <c r="F521" s="8"/>
      <c r="G521" s="8"/>
      <c r="I521" s="6" t="s">
        <v>48</v>
      </c>
      <c r="J521" s="6" t="s">
        <v>1539</v>
      </c>
    </row>
    <row r="522" spans="1:10" s="6" customFormat="1" ht="409.6" x14ac:dyDescent="0.3">
      <c r="A522" s="6" t="str">
        <f>HYPERLINK("https://grants.gov/search-results-detail/345872","PD-18-1517")</f>
        <v>PD-18-1517</v>
      </c>
      <c r="B522" s="6" t="s">
        <v>1545</v>
      </c>
      <c r="C522" s="6" t="s">
        <v>32</v>
      </c>
      <c r="D522" s="6" t="s">
        <v>33</v>
      </c>
      <c r="F522" s="8"/>
      <c r="G522" s="8"/>
      <c r="I522" s="6" t="s">
        <v>48</v>
      </c>
      <c r="J522" s="6" t="s">
        <v>1546</v>
      </c>
    </row>
    <row r="523" spans="1:10" s="6" customFormat="1" ht="409.6" x14ac:dyDescent="0.3">
      <c r="A523" s="6" t="str">
        <f>HYPERLINK("https://grants.gov/search-results-detail/345354","PD-23-229Y")</f>
        <v>PD-23-229Y</v>
      </c>
      <c r="B523" s="6" t="s">
        <v>1553</v>
      </c>
      <c r="C523" s="6" t="s">
        <v>32</v>
      </c>
      <c r="D523" s="6" t="s">
        <v>33</v>
      </c>
      <c r="F523" s="8"/>
      <c r="G523" s="8"/>
      <c r="I523" s="6" t="s">
        <v>48</v>
      </c>
      <c r="J523" s="6" t="s">
        <v>1554</v>
      </c>
    </row>
    <row r="524" spans="1:10" s="6" customFormat="1" ht="273.60000000000002" x14ac:dyDescent="0.3">
      <c r="A524" s="6" t="str">
        <f>HYPERLINK("https://grants.gov/search-results-detail/344911","23-531")</f>
        <v>23-531</v>
      </c>
      <c r="B524" s="6" t="s">
        <v>1561</v>
      </c>
      <c r="C524" s="6" t="s">
        <v>32</v>
      </c>
      <c r="D524" s="6" t="s">
        <v>33</v>
      </c>
      <c r="F524" s="8">
        <v>25000</v>
      </c>
      <c r="G524" s="8"/>
      <c r="H524" s="6">
        <v>40</v>
      </c>
      <c r="I524" s="6" t="s">
        <v>1562</v>
      </c>
      <c r="J524" s="6" t="s">
        <v>1563</v>
      </c>
    </row>
    <row r="525" spans="1:10" s="6" customFormat="1" ht="201.6" x14ac:dyDescent="0.3">
      <c r="A525" s="6" t="str">
        <f>HYPERLINK("https://grants.gov/search-results-detail/344858","PD-23-1650")</f>
        <v>PD-23-1650</v>
      </c>
      <c r="B525" s="6" t="s">
        <v>1572</v>
      </c>
      <c r="C525" s="6" t="s">
        <v>32</v>
      </c>
      <c r="D525" s="6" t="s">
        <v>33</v>
      </c>
      <c r="F525" s="8"/>
      <c r="G525" s="8"/>
      <c r="I525" s="6" t="s">
        <v>48</v>
      </c>
      <c r="J525" s="6" t="s">
        <v>1573</v>
      </c>
    </row>
    <row r="526" spans="1:10" s="6" customFormat="1" ht="409.6" x14ac:dyDescent="0.3">
      <c r="A526" s="6" t="str">
        <f>HYPERLINK("https://grants.gov/search-results-detail/343875","22-639")</f>
        <v>22-639</v>
      </c>
      <c r="B526" s="6" t="s">
        <v>1586</v>
      </c>
      <c r="C526" s="6" t="s">
        <v>32</v>
      </c>
      <c r="D526" s="6" t="s">
        <v>33</v>
      </c>
      <c r="F526" s="8"/>
      <c r="G526" s="8">
        <v>202000</v>
      </c>
      <c r="I526" s="6" t="s">
        <v>1587</v>
      </c>
      <c r="J526" s="6" t="s">
        <v>1588</v>
      </c>
    </row>
    <row r="527" spans="1:10" s="6" customFormat="1" ht="288" x14ac:dyDescent="0.3">
      <c r="A527" s="6" t="str">
        <f>HYPERLINK("https://grants.gov/search-results-detail/341998","PD-22-8069")</f>
        <v>PD-22-8069</v>
      </c>
      <c r="B527" s="6" t="s">
        <v>1613</v>
      </c>
      <c r="C527" s="6" t="s">
        <v>32</v>
      </c>
      <c r="D527" s="6" t="s">
        <v>33</v>
      </c>
      <c r="F527" s="8">
        <v>1000000</v>
      </c>
      <c r="G527" s="8">
        <v>20000</v>
      </c>
      <c r="H527" s="6">
        <v>20</v>
      </c>
      <c r="I527" s="6" t="s">
        <v>48</v>
      </c>
      <c r="J527" s="6" t="s">
        <v>1614</v>
      </c>
    </row>
    <row r="528" spans="1:10" s="6" customFormat="1" ht="409.6" x14ac:dyDescent="0.3">
      <c r="A528" s="6" t="str">
        <f>HYPERLINK("https://grants.gov/search-results-detail/341244","22-606")</f>
        <v>22-606</v>
      </c>
      <c r="B528" s="6" t="s">
        <v>1617</v>
      </c>
      <c r="C528" s="6" t="s">
        <v>32</v>
      </c>
      <c r="D528" s="6" t="s">
        <v>33</v>
      </c>
      <c r="F528" s="8"/>
      <c r="G528" s="8"/>
      <c r="I528" s="6" t="s">
        <v>1355</v>
      </c>
      <c r="J528" s="6" t="s">
        <v>1618</v>
      </c>
    </row>
    <row r="529" spans="1:10" s="6" customFormat="1" ht="273.60000000000002" x14ac:dyDescent="0.3">
      <c r="A529" s="6" t="str">
        <f>HYPERLINK("https://grants.gov/search-results-detail/339659","22-591")</f>
        <v>22-591</v>
      </c>
      <c r="B529" s="6" t="s">
        <v>1639</v>
      </c>
      <c r="C529" s="6" t="s">
        <v>32</v>
      </c>
      <c r="D529" s="6" t="s">
        <v>33</v>
      </c>
      <c r="F529" s="8">
        <v>350000</v>
      </c>
      <c r="G529" s="8">
        <v>200000</v>
      </c>
      <c r="H529" s="6">
        <v>15</v>
      </c>
      <c r="I529" s="6" t="s">
        <v>1355</v>
      </c>
      <c r="J529" s="6" t="s">
        <v>1640</v>
      </c>
    </row>
    <row r="530" spans="1:10" s="6" customFormat="1" ht="374.4" x14ac:dyDescent="0.3">
      <c r="A530" s="6" t="str">
        <f>HYPERLINK("https://grants.gov/search-results-detail/339008","PD-22-7569")</f>
        <v>PD-22-7569</v>
      </c>
      <c r="B530" s="6" t="s">
        <v>1646</v>
      </c>
      <c r="C530" s="6" t="s">
        <v>32</v>
      </c>
      <c r="D530" s="6" t="s">
        <v>33</v>
      </c>
      <c r="F530" s="8"/>
      <c r="G530" s="8"/>
      <c r="I530" s="6" t="s">
        <v>48</v>
      </c>
      <c r="J530" s="6" t="s">
        <v>1647</v>
      </c>
    </row>
    <row r="531" spans="1:10" s="6" customFormat="1" ht="409.6" x14ac:dyDescent="0.3">
      <c r="A531" s="6" t="str">
        <f>HYPERLINK("https://grants.gov/search-results-detail/338558","PD-22-1529")</f>
        <v>PD-22-1529</v>
      </c>
      <c r="B531" s="6" t="s">
        <v>1651</v>
      </c>
      <c r="C531" s="6" t="s">
        <v>32</v>
      </c>
      <c r="D531" s="6" t="s">
        <v>33</v>
      </c>
      <c r="F531" s="8"/>
      <c r="G531" s="8"/>
      <c r="I531" s="6" t="s">
        <v>48</v>
      </c>
      <c r="J531" s="6" t="s">
        <v>1652</v>
      </c>
    </row>
    <row r="532" spans="1:10" s="6" customFormat="1" ht="409.6" x14ac:dyDescent="0.3">
      <c r="A532" s="6" t="str">
        <f>HYPERLINK("https://grants.gov/search-results-detail/338428","22-577")</f>
        <v>22-577</v>
      </c>
      <c r="B532" s="6" t="s">
        <v>1653</v>
      </c>
      <c r="C532" s="6" t="s">
        <v>32</v>
      </c>
      <c r="D532" s="6" t="s">
        <v>33</v>
      </c>
      <c r="F532" s="8">
        <v>4000000</v>
      </c>
      <c r="G532" s="8">
        <v>1</v>
      </c>
      <c r="H532" s="6">
        <v>40</v>
      </c>
      <c r="I532" s="6" t="s">
        <v>1654</v>
      </c>
      <c r="J532" s="6" t="s">
        <v>1655</v>
      </c>
    </row>
    <row r="533" spans="1:10" s="6" customFormat="1" ht="409.6" x14ac:dyDescent="0.3">
      <c r="A533" s="6" t="str">
        <f>HYPERLINK("https://grants.gov/search-results-detail/335724","21-621")</f>
        <v>21-621</v>
      </c>
      <c r="B533" s="6" t="s">
        <v>1678</v>
      </c>
      <c r="C533" s="6" t="s">
        <v>32</v>
      </c>
      <c r="D533" s="6" t="s">
        <v>33</v>
      </c>
      <c r="F533" s="8">
        <v>20000</v>
      </c>
      <c r="G533" s="8"/>
      <c r="H533" s="6">
        <v>15</v>
      </c>
      <c r="I533" s="6" t="s">
        <v>1679</v>
      </c>
      <c r="J533" s="6" t="s">
        <v>1680</v>
      </c>
    </row>
    <row r="534" spans="1:10" s="6" customFormat="1" ht="360" x14ac:dyDescent="0.3">
      <c r="A534" s="6" t="str">
        <f>HYPERLINK("https://grants.gov/search-results-detail/332012","PD-21-7700")</f>
        <v>PD-21-7700</v>
      </c>
      <c r="B534" s="6" t="s">
        <v>1722</v>
      </c>
      <c r="C534" s="6" t="s">
        <v>32</v>
      </c>
      <c r="D534" s="6" t="s">
        <v>33</v>
      </c>
      <c r="F534" s="8"/>
      <c r="G534" s="8"/>
      <c r="I534" s="6" t="s">
        <v>48</v>
      </c>
      <c r="J534" s="6" t="s">
        <v>1723</v>
      </c>
    </row>
    <row r="535" spans="1:10" s="6" customFormat="1" ht="409.6" x14ac:dyDescent="0.3">
      <c r="A535" s="6" t="str">
        <f>HYPERLINK("https://grants.gov/search-results-detail/330934","21-552")</f>
        <v>21-552</v>
      </c>
      <c r="B535" s="6" t="s">
        <v>1733</v>
      </c>
      <c r="C535" s="6" t="s">
        <v>32</v>
      </c>
      <c r="D535" s="6" t="s">
        <v>33</v>
      </c>
      <c r="F535" s="8"/>
      <c r="G535" s="8">
        <v>50000</v>
      </c>
      <c r="H535" s="6">
        <v>255</v>
      </c>
      <c r="I535" s="6" t="s">
        <v>1734</v>
      </c>
      <c r="J535" s="6" t="s">
        <v>1735</v>
      </c>
    </row>
    <row r="536" spans="1:10" s="6" customFormat="1" ht="409.6" x14ac:dyDescent="0.3">
      <c r="A536" s="6" t="str">
        <f>HYPERLINK("https://grants.gov/search-results-detail/330296","21-544")</f>
        <v>21-544</v>
      </c>
      <c r="B536" s="6" t="s">
        <v>1743</v>
      </c>
      <c r="C536" s="6" t="s">
        <v>32</v>
      </c>
      <c r="D536" s="6" t="s">
        <v>33</v>
      </c>
      <c r="F536" s="8">
        <v>600000</v>
      </c>
      <c r="G536" s="8"/>
      <c r="I536" s="6" t="s">
        <v>1355</v>
      </c>
      <c r="J536" s="6" t="s">
        <v>1744</v>
      </c>
    </row>
    <row r="537" spans="1:10" s="6" customFormat="1" ht="273.60000000000002" x14ac:dyDescent="0.3">
      <c r="A537" s="6" t="str">
        <f>HYPERLINK("https://grants.gov/search-results-detail/330201","21-541")</f>
        <v>21-541</v>
      </c>
      <c r="B537" s="6" t="s">
        <v>1745</v>
      </c>
      <c r="C537" s="6" t="s">
        <v>32</v>
      </c>
      <c r="D537" s="6" t="s">
        <v>33</v>
      </c>
      <c r="F537" s="8">
        <v>150000</v>
      </c>
      <c r="G537" s="8">
        <v>5000</v>
      </c>
      <c r="H537" s="6">
        <v>100</v>
      </c>
      <c r="I537" s="6" t="s">
        <v>1355</v>
      </c>
      <c r="J537" s="6" t="s">
        <v>1746</v>
      </c>
    </row>
    <row r="538" spans="1:10" s="6" customFormat="1" ht="409.6" x14ac:dyDescent="0.3">
      <c r="A538" s="6" t="str">
        <f>HYPERLINK("https://grants.gov/search-results-detail/329329","21-508")</f>
        <v>21-508</v>
      </c>
      <c r="B538" s="6" t="s">
        <v>1754</v>
      </c>
      <c r="C538" s="6" t="s">
        <v>32</v>
      </c>
      <c r="D538" s="6" t="s">
        <v>33</v>
      </c>
      <c r="F538" s="8"/>
      <c r="G538" s="8">
        <v>750000</v>
      </c>
      <c r="H538" s="6">
        <v>8</v>
      </c>
      <c r="I538" s="6" t="s">
        <v>48</v>
      </c>
      <c r="J538" s="6" t="s">
        <v>1755</v>
      </c>
    </row>
    <row r="539" spans="1:10" s="6" customFormat="1" ht="273.60000000000002" x14ac:dyDescent="0.3">
      <c r="A539" s="6" t="str">
        <f>HYPERLINK("https://grants.gov/search-results-detail/329293","21-503")</f>
        <v>21-503</v>
      </c>
      <c r="B539" s="6" t="s">
        <v>1756</v>
      </c>
      <c r="C539" s="6" t="s">
        <v>32</v>
      </c>
      <c r="D539" s="6" t="s">
        <v>33</v>
      </c>
      <c r="F539" s="8"/>
      <c r="G539" s="8"/>
      <c r="H539" s="6">
        <v>3</v>
      </c>
      <c r="I539" s="6" t="s">
        <v>1355</v>
      </c>
      <c r="J539" s="6" t="s">
        <v>1757</v>
      </c>
    </row>
    <row r="540" spans="1:10" s="6" customFormat="1" ht="409.6" x14ac:dyDescent="0.3">
      <c r="A540" s="6" t="str">
        <f>HYPERLINK("https://grants.gov/search-results-detail/328270","20-586")</f>
        <v>20-586</v>
      </c>
      <c r="B540" s="6" t="s">
        <v>1761</v>
      </c>
      <c r="C540" s="6" t="s">
        <v>32</v>
      </c>
      <c r="D540" s="6" t="s">
        <v>33</v>
      </c>
      <c r="F540" s="8">
        <v>300000</v>
      </c>
      <c r="G540" s="8">
        <v>250000</v>
      </c>
      <c r="H540" s="6">
        <v>4</v>
      </c>
      <c r="I540" s="6" t="s">
        <v>1762</v>
      </c>
      <c r="J540" s="6" t="s">
        <v>1763</v>
      </c>
    </row>
    <row r="541" spans="1:10" s="6" customFormat="1" ht="409.6" x14ac:dyDescent="0.3">
      <c r="A541" s="6" t="str">
        <f>HYPERLINK("https://grants.gov/search-results-detail/327047","20-576")</f>
        <v>20-576</v>
      </c>
      <c r="B541" s="6" t="s">
        <v>1773</v>
      </c>
      <c r="C541" s="6" t="s">
        <v>32</v>
      </c>
      <c r="D541" s="6" t="s">
        <v>33</v>
      </c>
      <c r="F541" s="8"/>
      <c r="G541" s="8"/>
      <c r="H541" s="6">
        <v>30</v>
      </c>
      <c r="I541" s="6" t="s">
        <v>1774</v>
      </c>
      <c r="J541" s="6" t="s">
        <v>1775</v>
      </c>
    </row>
    <row r="542" spans="1:10" s="6" customFormat="1" ht="409.6" x14ac:dyDescent="0.3">
      <c r="A542" s="6" t="str">
        <f>HYPERLINK("https://grants.gov/search-results-detail/324369","PD-20-144Y")</f>
        <v>PD-20-144Y</v>
      </c>
      <c r="B542" s="6" t="s">
        <v>1803</v>
      </c>
      <c r="C542" s="6" t="s">
        <v>32</v>
      </c>
      <c r="D542" s="6" t="s">
        <v>33</v>
      </c>
      <c r="F542" s="8"/>
      <c r="G542" s="8"/>
      <c r="I542" s="6" t="s">
        <v>48</v>
      </c>
      <c r="J542" s="6" t="s">
        <v>1804</v>
      </c>
    </row>
    <row r="543" spans="1:10" s="6" customFormat="1" ht="409.6" x14ac:dyDescent="0.3">
      <c r="A543" s="6" t="str">
        <f>HYPERLINK("https://grants.gov/search-results-detail/322053","20-510")</f>
        <v>20-510</v>
      </c>
      <c r="B543" s="6" t="s">
        <v>1812</v>
      </c>
      <c r="C543" s="6" t="s">
        <v>32</v>
      </c>
      <c r="D543" s="6" t="s">
        <v>33</v>
      </c>
      <c r="F543" s="8"/>
      <c r="G543" s="8"/>
      <c r="H543" s="6">
        <v>10</v>
      </c>
      <c r="I543" s="6" t="s">
        <v>1813</v>
      </c>
      <c r="J543" s="6" t="s">
        <v>1814</v>
      </c>
    </row>
    <row r="544" spans="1:10" s="6" customFormat="1" ht="409.6" x14ac:dyDescent="0.3">
      <c r="A544" s="6" t="str">
        <f>HYPERLINK("https://grants.gov/search-results-detail/320536","PD-20-7909")</f>
        <v>PD-20-7909</v>
      </c>
      <c r="B544" s="6" t="s">
        <v>1815</v>
      </c>
      <c r="C544" s="6" t="s">
        <v>32</v>
      </c>
      <c r="D544" s="6" t="s">
        <v>33</v>
      </c>
      <c r="F544" s="8"/>
      <c r="G544" s="8"/>
      <c r="I544" s="6" t="s">
        <v>48</v>
      </c>
      <c r="J544" s="6" t="s">
        <v>1816</v>
      </c>
    </row>
    <row r="545" spans="1:10" s="6" customFormat="1" ht="409.6" x14ac:dyDescent="0.3">
      <c r="A545" s="6" t="str">
        <f>HYPERLINK("https://grants.gov/search-results-detail/320490","PD-20-1440")</f>
        <v>PD-20-1440</v>
      </c>
      <c r="B545" s="6" t="s">
        <v>1817</v>
      </c>
      <c r="C545" s="6" t="s">
        <v>32</v>
      </c>
      <c r="D545" s="6" t="s">
        <v>33</v>
      </c>
      <c r="F545" s="8"/>
      <c r="G545" s="8"/>
      <c r="H545" s="6">
        <v>103</v>
      </c>
      <c r="I545" s="6" t="s">
        <v>48</v>
      </c>
      <c r="J545" s="6" t="s">
        <v>1818</v>
      </c>
    </row>
    <row r="546" spans="1:10" s="6" customFormat="1" ht="201.6" x14ac:dyDescent="0.3">
      <c r="A546" s="6" t="str">
        <f>HYPERLINK("https://grants.gov/search-results-detail/314126","19-570")</f>
        <v>19-570</v>
      </c>
      <c r="B546" s="6" t="s">
        <v>1825</v>
      </c>
      <c r="C546" s="6" t="s">
        <v>32</v>
      </c>
      <c r="D546" s="6" t="s">
        <v>33</v>
      </c>
      <c r="F546" s="8">
        <v>35000</v>
      </c>
      <c r="G546" s="8"/>
      <c r="H546" s="6">
        <v>5</v>
      </c>
      <c r="I546" s="6" t="s">
        <v>48</v>
      </c>
      <c r="J546" s="6" t="s">
        <v>1826</v>
      </c>
    </row>
    <row r="547" spans="1:10" s="6" customFormat="1" ht="409.6" x14ac:dyDescent="0.3">
      <c r="A547" s="6" t="str">
        <f>HYPERLINK("https://grants.gov/search-results-detail/308873","PD-18-7222")</f>
        <v>PD-18-7222</v>
      </c>
      <c r="B547" s="6" t="s">
        <v>1840</v>
      </c>
      <c r="C547" s="6" t="s">
        <v>32</v>
      </c>
      <c r="D547" s="6" t="s">
        <v>33</v>
      </c>
      <c r="F547" s="8"/>
      <c r="G547" s="8"/>
      <c r="H547" s="6">
        <v>100</v>
      </c>
      <c r="I547" s="6" t="s">
        <v>48</v>
      </c>
      <c r="J547" s="6" t="s">
        <v>1841</v>
      </c>
    </row>
    <row r="548" spans="1:10" s="6" customFormat="1" ht="374.4" x14ac:dyDescent="0.3">
      <c r="A548" s="6" t="str">
        <f>HYPERLINK("https://grants.gov/search-results-detail/306824","PD-19-088Y")</f>
        <v>PD-19-088Y</v>
      </c>
      <c r="B548" s="6" t="s">
        <v>1842</v>
      </c>
      <c r="C548" s="6" t="s">
        <v>32</v>
      </c>
      <c r="D548" s="6" t="s">
        <v>33</v>
      </c>
      <c r="F548" s="8"/>
      <c r="G548" s="8"/>
      <c r="I548" s="6" t="s">
        <v>48</v>
      </c>
      <c r="J548" s="6" t="s">
        <v>1843</v>
      </c>
    </row>
    <row r="549" spans="1:10" s="6" customFormat="1" ht="288" x14ac:dyDescent="0.3">
      <c r="A549" s="6" t="str">
        <f>HYPERLINK("https://grants.gov/search-results-detail/306167","PD-19-006Y")</f>
        <v>PD-19-006Y</v>
      </c>
      <c r="B549" s="6" t="s">
        <v>1844</v>
      </c>
      <c r="C549" s="6" t="s">
        <v>32</v>
      </c>
      <c r="D549" s="6" t="s">
        <v>33</v>
      </c>
      <c r="F549" s="8"/>
      <c r="G549" s="8"/>
      <c r="I549" s="6" t="s">
        <v>48</v>
      </c>
      <c r="J549" s="6" t="s">
        <v>1845</v>
      </c>
    </row>
    <row r="550" spans="1:10" s="6" customFormat="1" ht="409.6" x14ac:dyDescent="0.3">
      <c r="A550" s="6" t="str">
        <f>HYPERLINK("https://grants.gov/search-results-detail/306169","PD-19-073Y")</f>
        <v>PD-19-073Y</v>
      </c>
      <c r="B550" s="6" t="s">
        <v>1846</v>
      </c>
      <c r="C550" s="6" t="s">
        <v>32</v>
      </c>
      <c r="D550" s="6" t="s">
        <v>33</v>
      </c>
      <c r="F550" s="8"/>
      <c r="G550" s="8"/>
      <c r="I550" s="6" t="s">
        <v>48</v>
      </c>
      <c r="J550" s="6" t="s">
        <v>1847</v>
      </c>
    </row>
    <row r="551" spans="1:10" s="6" customFormat="1" ht="409.6" x14ac:dyDescent="0.3">
      <c r="A551" s="6" t="str">
        <f>HYPERLINK("https://grants.gov/search-results-detail/306170","PD-19-072Y")</f>
        <v>PD-19-072Y</v>
      </c>
      <c r="B551" s="6" t="s">
        <v>1848</v>
      </c>
      <c r="C551" s="6" t="s">
        <v>32</v>
      </c>
      <c r="D551" s="6" t="s">
        <v>33</v>
      </c>
      <c r="F551" s="8"/>
      <c r="G551" s="8"/>
      <c r="I551" s="6" t="s">
        <v>48</v>
      </c>
      <c r="J551" s="6" t="s">
        <v>1849</v>
      </c>
    </row>
    <row r="552" spans="1:10" s="6" customFormat="1" ht="409.6" x14ac:dyDescent="0.3">
      <c r="A552" s="6" t="str">
        <f>HYPERLINK("https://grants.gov/search-results-detail/306171","PD-19-7479")</f>
        <v>PD-19-7479</v>
      </c>
      <c r="B552" s="6" t="s">
        <v>1850</v>
      </c>
      <c r="C552" s="6" t="s">
        <v>32</v>
      </c>
      <c r="D552" s="6" t="s">
        <v>33</v>
      </c>
      <c r="F552" s="8">
        <v>400000</v>
      </c>
      <c r="G552" s="8">
        <v>5000</v>
      </c>
      <c r="I552" s="6" t="s">
        <v>48</v>
      </c>
      <c r="J552" s="6" t="s">
        <v>1851</v>
      </c>
    </row>
    <row r="553" spans="1:10" s="6" customFormat="1" ht="409.6" x14ac:dyDescent="0.3">
      <c r="A553" s="6" t="str">
        <f>HYPERLINK("https://grants.gov/search-results-detail/306172","PD-19-1630")</f>
        <v>PD-19-1630</v>
      </c>
      <c r="B553" s="6" t="s">
        <v>1852</v>
      </c>
      <c r="C553" s="6" t="s">
        <v>32</v>
      </c>
      <c r="D553" s="6" t="s">
        <v>33</v>
      </c>
      <c r="F553" s="8"/>
      <c r="G553" s="8"/>
      <c r="I553" s="6" t="s">
        <v>48</v>
      </c>
      <c r="J553" s="6" t="s">
        <v>1853</v>
      </c>
    </row>
    <row r="554" spans="1:10" s="6" customFormat="1" ht="345.6" x14ac:dyDescent="0.3">
      <c r="A554" s="6" t="str">
        <f>HYPERLINK("https://grants.gov/search-results-detail/306193","PD-19-1631")</f>
        <v>PD-19-1631</v>
      </c>
      <c r="B554" s="6" t="s">
        <v>1854</v>
      </c>
      <c r="C554" s="6" t="s">
        <v>32</v>
      </c>
      <c r="D554" s="6" t="s">
        <v>33</v>
      </c>
      <c r="F554" s="8"/>
      <c r="G554" s="8"/>
      <c r="I554" s="6" t="s">
        <v>48</v>
      </c>
      <c r="J554" s="6" t="s">
        <v>1855</v>
      </c>
    </row>
    <row r="555" spans="1:10" s="6" customFormat="1" ht="409.6" x14ac:dyDescent="0.3">
      <c r="A555" s="6" t="str">
        <f>HYPERLINK("https://grants.gov/search-results-detail/306194","PD-19-1638")</f>
        <v>PD-19-1638</v>
      </c>
      <c r="B555" s="6" t="s">
        <v>1856</v>
      </c>
      <c r="C555" s="6" t="s">
        <v>32</v>
      </c>
      <c r="D555" s="6" t="s">
        <v>33</v>
      </c>
      <c r="F555" s="8"/>
      <c r="G555" s="8"/>
      <c r="I555" s="6" t="s">
        <v>48</v>
      </c>
      <c r="J555" s="6" t="s">
        <v>1857</v>
      </c>
    </row>
    <row r="556" spans="1:10" s="6" customFormat="1" ht="409.6" x14ac:dyDescent="0.3">
      <c r="A556" s="6" t="str">
        <f>HYPERLINK("https://grants.gov/search-results-detail/295449","PD-17-1620")</f>
        <v>PD-17-1620</v>
      </c>
      <c r="B556" s="6" t="s">
        <v>1887</v>
      </c>
      <c r="C556" s="6" t="s">
        <v>32</v>
      </c>
      <c r="D556" s="6" t="s">
        <v>33</v>
      </c>
      <c r="F556" s="8"/>
      <c r="G556" s="8"/>
      <c r="I556" s="6" t="s">
        <v>48</v>
      </c>
      <c r="J556" s="6" t="s">
        <v>1888</v>
      </c>
    </row>
    <row r="557" spans="1:10" s="6" customFormat="1" ht="187.2" x14ac:dyDescent="0.3">
      <c r="A557" s="6" t="str">
        <f>HYPERLINK("https://grants.gov/search-results-detail/275109","PD-05-1743")</f>
        <v>PD-05-1743</v>
      </c>
      <c r="B557" s="6" t="s">
        <v>1933</v>
      </c>
      <c r="C557" s="6" t="s">
        <v>32</v>
      </c>
      <c r="D557" s="6" t="s">
        <v>33</v>
      </c>
      <c r="F557" s="8"/>
      <c r="G557" s="8"/>
      <c r="I557" s="6" t="s">
        <v>48</v>
      </c>
      <c r="J557" s="6" t="s">
        <v>1934</v>
      </c>
    </row>
    <row r="558" spans="1:10" s="6" customFormat="1" ht="409.6" x14ac:dyDescent="0.3">
      <c r="A558" s="6" t="str">
        <f>HYPERLINK("https://grants.gov/search-results-detail/254073","PD-14-5720")</f>
        <v>PD-14-5720</v>
      </c>
      <c r="B558" s="6" t="s">
        <v>1956</v>
      </c>
      <c r="C558" s="6" t="s">
        <v>32</v>
      </c>
      <c r="D558" s="6" t="s">
        <v>33</v>
      </c>
      <c r="F558" s="8"/>
      <c r="G558" s="8">
        <v>300000</v>
      </c>
      <c r="I558" s="6" t="s">
        <v>48</v>
      </c>
      <c r="J558" s="6" t="s">
        <v>1957</v>
      </c>
    </row>
    <row r="559" spans="1:10" s="6" customFormat="1" ht="187.2" x14ac:dyDescent="0.3">
      <c r="A559" s="6" t="str">
        <f>HYPERLINK("https://grants.gov/search-results-detail/107113","11-066")</f>
        <v>11-066</v>
      </c>
      <c r="B559" s="6" t="s">
        <v>2003</v>
      </c>
      <c r="C559" s="6" t="s">
        <v>32</v>
      </c>
      <c r="D559" s="6" t="s">
        <v>33</v>
      </c>
      <c r="F559" s="8"/>
      <c r="G559" s="8"/>
      <c r="H559" s="6">
        <v>20</v>
      </c>
      <c r="I559" s="6" t="s">
        <v>2004</v>
      </c>
      <c r="J559" s="6" t="s">
        <v>2005</v>
      </c>
    </row>
    <row r="560" spans="1:10" s="6" customFormat="1" ht="144" x14ac:dyDescent="0.3">
      <c r="A560" s="6" t="str">
        <f>HYPERLINK("https://grants.gov/search-results-detail/50283","PD-09-5761")</f>
        <v>PD-09-5761</v>
      </c>
      <c r="B560" s="6" t="s">
        <v>2029</v>
      </c>
      <c r="C560" s="6" t="s">
        <v>32</v>
      </c>
      <c r="D560" s="6" t="s">
        <v>33</v>
      </c>
      <c r="F560" s="8"/>
      <c r="G560" s="8"/>
      <c r="H560" s="6">
        <v>0</v>
      </c>
      <c r="I560" s="6" t="s">
        <v>48</v>
      </c>
      <c r="J560" s="6" t="s">
        <v>2030</v>
      </c>
    </row>
    <row r="561" spans="1:10" s="6" customFormat="1" ht="409.6" x14ac:dyDescent="0.3">
      <c r="A561" s="6" t="str">
        <f>HYPERLINK("https://grants.gov/search-results-detail/45810","PD-98-1331")</f>
        <v>PD-98-1331</v>
      </c>
      <c r="B561" s="6" t="s">
        <v>2034</v>
      </c>
      <c r="C561" s="6" t="s">
        <v>32</v>
      </c>
      <c r="D561" s="6" t="s">
        <v>33</v>
      </c>
      <c r="F561" s="8"/>
      <c r="G561" s="8"/>
      <c r="I561" s="6" t="s">
        <v>48</v>
      </c>
      <c r="J561" s="6" t="s">
        <v>2035</v>
      </c>
    </row>
    <row r="562" spans="1:10" s="6" customFormat="1" ht="409.6" x14ac:dyDescent="0.3">
      <c r="A562" s="6" t="str">
        <f>HYPERLINK("https://grants.gov/search-results-detail/45657","04-563")</f>
        <v>04-563</v>
      </c>
      <c r="B562" s="6" t="s">
        <v>2045</v>
      </c>
      <c r="C562" s="6" t="s">
        <v>32</v>
      </c>
      <c r="D562" s="6" t="s">
        <v>33</v>
      </c>
      <c r="F562" s="8"/>
      <c r="G562" s="8"/>
      <c r="I562" s="6" t="s">
        <v>2046</v>
      </c>
      <c r="J562" s="6" t="s">
        <v>2047</v>
      </c>
    </row>
    <row r="563" spans="1:10" s="6" customFormat="1" ht="409.6" x14ac:dyDescent="0.3">
      <c r="A563" s="6" t="str">
        <f>HYPERLINK("https://grants.gov/search-results-detail/356957","DE-FOA-0003484")</f>
        <v>DE-FOA-0003484</v>
      </c>
      <c r="B563" s="6" t="s">
        <v>1131</v>
      </c>
      <c r="C563" s="6" t="s">
        <v>93</v>
      </c>
      <c r="D563" s="6" t="s">
        <v>94</v>
      </c>
      <c r="E563" s="7">
        <v>45715</v>
      </c>
      <c r="F563" s="8">
        <v>975000</v>
      </c>
      <c r="G563" s="8">
        <v>200000</v>
      </c>
      <c r="I563" s="6" t="s">
        <v>1132</v>
      </c>
      <c r="J563" s="6" t="s">
        <v>1133</v>
      </c>
    </row>
    <row r="564" spans="1:10" s="6" customFormat="1" ht="316.8" x14ac:dyDescent="0.3">
      <c r="A564" s="6" t="str">
        <f>HYPERLINK("https://grants.gov/search-results-detail/356896","DE-FOA-0003464")</f>
        <v>DE-FOA-0003464</v>
      </c>
      <c r="B564" s="6" t="s">
        <v>1146</v>
      </c>
      <c r="C564" s="6" t="s">
        <v>93</v>
      </c>
      <c r="D564" s="6" t="s">
        <v>94</v>
      </c>
      <c r="E564" s="7">
        <v>45715</v>
      </c>
      <c r="F564" s="8">
        <v>1000000</v>
      </c>
      <c r="G564" s="8">
        <v>100000</v>
      </c>
      <c r="I564" s="6" t="s">
        <v>1147</v>
      </c>
      <c r="J564" s="6" t="s">
        <v>1148</v>
      </c>
    </row>
    <row r="565" spans="1:10" s="6" customFormat="1" ht="100.8" x14ac:dyDescent="0.3">
      <c r="A565" s="6" t="str">
        <f>HYPERLINK("https://grants.gov/search-results-detail/357452","DE-FOA-0003498")</f>
        <v>DE-FOA-0003498</v>
      </c>
      <c r="B565" s="6" t="s">
        <v>950</v>
      </c>
      <c r="C565" s="6" t="s">
        <v>93</v>
      </c>
      <c r="D565" s="6" t="s">
        <v>94</v>
      </c>
      <c r="E565" s="7">
        <v>45719</v>
      </c>
      <c r="F565" s="8">
        <v>1000000</v>
      </c>
      <c r="G565" s="8">
        <v>100000</v>
      </c>
      <c r="I565" s="6" t="s">
        <v>48</v>
      </c>
      <c r="J565" s="6" t="s">
        <v>951</v>
      </c>
    </row>
    <row r="566" spans="1:10" s="6" customFormat="1" ht="409.6" x14ac:dyDescent="0.3">
      <c r="A566" s="6" t="str">
        <f>HYPERLINK("https://grants.gov/search-results-detail/356977","DE-FOA-0003475")</f>
        <v>DE-FOA-0003475</v>
      </c>
      <c r="B566" s="6" t="s">
        <v>1120</v>
      </c>
      <c r="C566" s="6" t="s">
        <v>93</v>
      </c>
      <c r="D566" s="6" t="s">
        <v>94</v>
      </c>
      <c r="E566" s="7">
        <v>45729</v>
      </c>
      <c r="F566" s="8">
        <v>1000000</v>
      </c>
      <c r="G566" s="8">
        <v>100000</v>
      </c>
      <c r="I566" s="6" t="s">
        <v>1121</v>
      </c>
      <c r="J566" s="6" t="s">
        <v>1122</v>
      </c>
    </row>
    <row r="567" spans="1:10" s="6" customFormat="1" ht="409.6" x14ac:dyDescent="0.3">
      <c r="A567" s="6" t="str">
        <f>HYPERLINK("https://grants.gov/search-results-detail/357662","DE-FOA-0003453")</f>
        <v>DE-FOA-0003453</v>
      </c>
      <c r="B567" s="6" t="s">
        <v>857</v>
      </c>
      <c r="C567" s="6" t="s">
        <v>93</v>
      </c>
      <c r="D567" s="6" t="s">
        <v>94</v>
      </c>
      <c r="E567" s="7">
        <v>45742</v>
      </c>
      <c r="F567" s="8">
        <v>15000000</v>
      </c>
      <c r="G567" s="8">
        <v>5000000</v>
      </c>
      <c r="I567" s="6" t="s">
        <v>858</v>
      </c>
      <c r="J567" s="6" t="s">
        <v>859</v>
      </c>
    </row>
    <row r="568" spans="1:10" s="6" customFormat="1" ht="144" x14ac:dyDescent="0.3">
      <c r="A568" s="6" t="str">
        <f>HYPERLINK("https://grants.gov/search-results-detail/358260","DE-FOA-0003526")</f>
        <v>DE-FOA-0003526</v>
      </c>
      <c r="B568" s="6" t="s">
        <v>252</v>
      </c>
      <c r="C568" s="6" t="s">
        <v>93</v>
      </c>
      <c r="D568" s="6" t="s">
        <v>94</v>
      </c>
      <c r="E568" s="7">
        <v>45743</v>
      </c>
      <c r="F568" s="8">
        <v>2250000</v>
      </c>
      <c r="G568" s="8">
        <v>600000</v>
      </c>
      <c r="I568" s="6" t="s">
        <v>48</v>
      </c>
      <c r="J568" s="6" t="s">
        <v>253</v>
      </c>
    </row>
    <row r="569" spans="1:10" s="6" customFormat="1" ht="273.60000000000002" x14ac:dyDescent="0.3">
      <c r="A569" s="6" t="str">
        <f>HYPERLINK("https://grants.gov/search-results-detail/358199","DE-FOA-0003503")</f>
        <v>DE-FOA-0003503</v>
      </c>
      <c r="B569" s="6" t="s">
        <v>378</v>
      </c>
      <c r="C569" s="6" t="s">
        <v>93</v>
      </c>
      <c r="D569" s="6" t="s">
        <v>94</v>
      </c>
      <c r="E569" s="7">
        <v>45751</v>
      </c>
      <c r="F569" s="8">
        <v>900000</v>
      </c>
      <c r="G569" s="8">
        <v>300000</v>
      </c>
      <c r="I569" s="6" t="s">
        <v>379</v>
      </c>
      <c r="J569" s="6" t="s">
        <v>380</v>
      </c>
    </row>
    <row r="570" spans="1:10" s="6" customFormat="1" ht="259.2" x14ac:dyDescent="0.3">
      <c r="A570" s="6" t="str">
        <f>HYPERLINK("https://grants.gov/search-results-detail/358300","DE-FOA-0003530")</f>
        <v>DE-FOA-0003530</v>
      </c>
      <c r="B570" s="6" t="s">
        <v>155</v>
      </c>
      <c r="C570" s="6" t="s">
        <v>93</v>
      </c>
      <c r="D570" s="6" t="s">
        <v>94</v>
      </c>
      <c r="E570" s="7">
        <v>45764</v>
      </c>
      <c r="F570" s="8">
        <v>1500000</v>
      </c>
      <c r="G570" s="8">
        <v>200000</v>
      </c>
      <c r="I570" s="6" t="s">
        <v>156</v>
      </c>
      <c r="J570" s="6" t="s">
        <v>157</v>
      </c>
    </row>
    <row r="571" spans="1:10" s="6" customFormat="1" ht="374.4" x14ac:dyDescent="0.3">
      <c r="A571" s="6" t="str">
        <f>HYPERLINK("https://grants.gov/search-results-detail/358302","DE-FOA-0003450")</f>
        <v>DE-FOA-0003450</v>
      </c>
      <c r="B571" s="6" t="s">
        <v>166</v>
      </c>
      <c r="C571" s="6" t="s">
        <v>93</v>
      </c>
      <c r="D571" s="6" t="s">
        <v>94</v>
      </c>
      <c r="E571" s="7">
        <v>45769</v>
      </c>
      <c r="F571" s="8">
        <v>2750000</v>
      </c>
      <c r="G571" s="8">
        <v>875000</v>
      </c>
      <c r="I571" s="6" t="s">
        <v>167</v>
      </c>
      <c r="J571" s="6" t="s">
        <v>168</v>
      </c>
    </row>
    <row r="572" spans="1:10" s="6" customFormat="1" ht="244.8" x14ac:dyDescent="0.3">
      <c r="A572" s="6" t="str">
        <f>HYPERLINK("https://grants.gov/search-results-detail/358072","DE-FOA-0003516")</f>
        <v>DE-FOA-0003516</v>
      </c>
      <c r="B572" s="6" t="s">
        <v>473</v>
      </c>
      <c r="C572" s="6" t="s">
        <v>93</v>
      </c>
      <c r="D572" s="6" t="s">
        <v>94</v>
      </c>
      <c r="E572" s="7">
        <v>45770</v>
      </c>
      <c r="F572" s="8">
        <v>21000000</v>
      </c>
      <c r="G572" s="8">
        <v>25000</v>
      </c>
      <c r="I572" s="6" t="s">
        <v>48</v>
      </c>
      <c r="J572" s="6" t="s">
        <v>474</v>
      </c>
    </row>
    <row r="573" spans="1:10" s="6" customFormat="1" ht="230.4" x14ac:dyDescent="0.3">
      <c r="A573" s="6" t="str">
        <f>HYPERLINK("https://grants.gov/search-results-detail/358270","DE-FOA-0003515")</f>
        <v>DE-FOA-0003515</v>
      </c>
      <c r="B573" s="6" t="s">
        <v>153</v>
      </c>
      <c r="C573" s="6" t="s">
        <v>93</v>
      </c>
      <c r="D573" s="6" t="s">
        <v>94</v>
      </c>
      <c r="E573" s="7">
        <v>45772</v>
      </c>
      <c r="F573" s="8">
        <v>10000000</v>
      </c>
      <c r="G573" s="8">
        <v>4000000</v>
      </c>
      <c r="I573" s="6" t="s">
        <v>48</v>
      </c>
      <c r="J573" s="6" t="s">
        <v>154</v>
      </c>
    </row>
    <row r="574" spans="1:10" s="6" customFormat="1" ht="72" x14ac:dyDescent="0.3">
      <c r="A574" s="6" t="str">
        <f>HYPERLINK("https://grants.gov/search-results-detail/358344","DE-FOA-0003545")</f>
        <v>DE-FOA-0003545</v>
      </c>
      <c r="B574" s="6" t="s">
        <v>92</v>
      </c>
      <c r="C574" s="6" t="s">
        <v>93</v>
      </c>
      <c r="D574" s="6" t="s">
        <v>94</v>
      </c>
      <c r="E574" s="7">
        <v>45783</v>
      </c>
      <c r="F574" s="8">
        <v>1000000</v>
      </c>
      <c r="G574" s="8">
        <v>200000</v>
      </c>
      <c r="H574" s="6">
        <v>20</v>
      </c>
      <c r="I574" s="6" t="s">
        <v>48</v>
      </c>
      <c r="J574" s="6" t="s">
        <v>95</v>
      </c>
    </row>
    <row r="575" spans="1:10" s="6" customFormat="1" ht="409.6" x14ac:dyDescent="0.3">
      <c r="A575" s="6" t="str">
        <f>HYPERLINK("https://grants.gov/search-results-detail/275168","SOL-OAA-15-000054")</f>
        <v>SOL-OAA-15-000054</v>
      </c>
      <c r="B575" s="6" t="s">
        <v>1935</v>
      </c>
      <c r="C575" s="6" t="s">
        <v>664</v>
      </c>
      <c r="D575" s="6" t="s">
        <v>665</v>
      </c>
      <c r="E575" s="7">
        <v>45728</v>
      </c>
      <c r="F575" s="8">
        <v>55000000</v>
      </c>
      <c r="G575" s="8">
        <v>0</v>
      </c>
      <c r="H575" s="6">
        <v>3</v>
      </c>
      <c r="I575" s="6" t="s">
        <v>1936</v>
      </c>
      <c r="J575" s="6" t="s">
        <v>1937</v>
      </c>
    </row>
    <row r="576" spans="1:10" s="6" customFormat="1" ht="409.6" x14ac:dyDescent="0.3">
      <c r="A576" s="6" t="str">
        <f>HYPERLINK("https://grants.gov/search-results-detail/326056","7200AA20APS00009")</f>
        <v>7200AA20APS00009</v>
      </c>
      <c r="B576" s="6" t="s">
        <v>1785</v>
      </c>
      <c r="C576" s="6" t="s">
        <v>664</v>
      </c>
      <c r="D576" s="6" t="s">
        <v>665</v>
      </c>
      <c r="E576" s="7">
        <v>45749</v>
      </c>
      <c r="F576" s="8">
        <v>60000000</v>
      </c>
      <c r="G576" s="8">
        <v>1000000</v>
      </c>
      <c r="I576" s="6" t="s">
        <v>48</v>
      </c>
      <c r="J576" s="6" t="s">
        <v>1786</v>
      </c>
    </row>
    <row r="577" spans="1:10" s="6" customFormat="1" ht="374.4" x14ac:dyDescent="0.3">
      <c r="A577" s="6" t="str">
        <f>HYPERLINK("https://grants.gov/search-results-detail/353503","7200AA24APS00005")</f>
        <v>7200AA24APS00005</v>
      </c>
      <c r="B577" s="6" t="s">
        <v>1311</v>
      </c>
      <c r="C577" s="6" t="s">
        <v>664</v>
      </c>
      <c r="D577" s="6" t="s">
        <v>665</v>
      </c>
      <c r="E577" s="7">
        <v>45757</v>
      </c>
      <c r="F577" s="8">
        <v>45000000</v>
      </c>
      <c r="G577" s="8">
        <v>0</v>
      </c>
      <c r="I577" s="6" t="s">
        <v>1312</v>
      </c>
      <c r="J577" s="6" t="s">
        <v>1313</v>
      </c>
    </row>
    <row r="578" spans="1:10" s="6" customFormat="1" ht="288" x14ac:dyDescent="0.3">
      <c r="A578" s="6" t="str">
        <f>HYPERLINK("https://grants.gov/search-results-detail/354400","72026324APS00001")</f>
        <v>72026324APS00001</v>
      </c>
      <c r="B578" s="6" t="s">
        <v>1289</v>
      </c>
      <c r="C578" s="6" t="s">
        <v>664</v>
      </c>
      <c r="D578" s="6" t="s">
        <v>665</v>
      </c>
      <c r="E578" s="7">
        <v>45789</v>
      </c>
      <c r="F578" s="8"/>
      <c r="G578" s="8"/>
      <c r="I578" s="6" t="s">
        <v>1290</v>
      </c>
      <c r="J578" s="6" t="s">
        <v>1291</v>
      </c>
    </row>
    <row r="579" spans="1:10" s="6" customFormat="1" ht="100.8" x14ac:dyDescent="0.3">
      <c r="A579" s="6" t="str">
        <f>HYPERLINK("https://grants.gov/search-results-detail/357880","7201P125R00001")</f>
        <v>7201P125R00001</v>
      </c>
      <c r="B579" s="6" t="s">
        <v>663</v>
      </c>
      <c r="C579" s="6" t="s">
        <v>664</v>
      </c>
      <c r="D579" s="6" t="s">
        <v>665</v>
      </c>
      <c r="F579" s="8">
        <v>2000000</v>
      </c>
      <c r="G579" s="8">
        <v>0</v>
      </c>
      <c r="I579" s="6" t="s">
        <v>666</v>
      </c>
      <c r="J579" s="6" t="s">
        <v>667</v>
      </c>
    </row>
    <row r="580" spans="1:10" s="6" customFormat="1" ht="409.6" x14ac:dyDescent="0.3">
      <c r="A580" s="6" t="str">
        <f>HYPERLINK("https://grants.gov/search-results-detail/356871","720BHA25RFA00001")</f>
        <v>720BHA25RFA00001</v>
      </c>
      <c r="B580" s="6" t="s">
        <v>1149</v>
      </c>
      <c r="C580" s="6" t="s">
        <v>664</v>
      </c>
      <c r="D580" s="6" t="s">
        <v>665</v>
      </c>
      <c r="F580" s="8">
        <v>90000000</v>
      </c>
      <c r="G580" s="8">
        <v>90000000</v>
      </c>
      <c r="H580" s="6">
        <v>1</v>
      </c>
      <c r="I580" s="6" t="s">
        <v>1150</v>
      </c>
      <c r="J580" s="6" t="s">
        <v>1151</v>
      </c>
    </row>
    <row r="581" spans="1:10" s="6" customFormat="1" ht="409.6" x14ac:dyDescent="0.3">
      <c r="A581" s="6" t="str">
        <f>HYPERLINK("https://grants.gov/search-results-detail/348888","720BHA23APS00002")</f>
        <v>720BHA23APS00002</v>
      </c>
      <c r="B581" s="6" t="s">
        <v>1466</v>
      </c>
      <c r="C581" s="6" t="s">
        <v>664</v>
      </c>
      <c r="D581" s="6" t="s">
        <v>665</v>
      </c>
      <c r="F581" s="8">
        <v>0</v>
      </c>
      <c r="G581" s="8">
        <v>0</v>
      </c>
      <c r="I581" s="6" t="s">
        <v>1467</v>
      </c>
      <c r="J581" s="6" t="s">
        <v>1468</v>
      </c>
    </row>
    <row r="582" spans="1:10" s="6" customFormat="1" ht="129.6" x14ac:dyDescent="0.3">
      <c r="A582" s="6" t="str">
        <f>HYPERLINK("https://grants.gov/search-results-detail/327101","720FDA20RFA00004")</f>
        <v>720FDA20RFA00004</v>
      </c>
      <c r="B582" s="6" t="s">
        <v>1776</v>
      </c>
      <c r="C582" s="6" t="s">
        <v>664</v>
      </c>
      <c r="D582" s="6" t="s">
        <v>665</v>
      </c>
      <c r="F582" s="8">
        <v>5000000</v>
      </c>
      <c r="G582" s="8">
        <v>3000000</v>
      </c>
      <c r="H582" s="6">
        <v>3</v>
      </c>
      <c r="I582" s="6" t="s">
        <v>1777</v>
      </c>
      <c r="J582" s="6" t="s">
        <v>1778</v>
      </c>
    </row>
    <row r="583" spans="1:10" s="6" customFormat="1" ht="259.2" x14ac:dyDescent="0.3">
      <c r="A583" s="6" t="str">
        <f>HYPERLINK("https://grants.gov/search-results-detail/313572","720FDA19APS00001")</f>
        <v>720FDA19APS00001</v>
      </c>
      <c r="B583" s="6" t="s">
        <v>1827</v>
      </c>
      <c r="C583" s="6" t="s">
        <v>664</v>
      </c>
      <c r="D583" s="6" t="s">
        <v>665</v>
      </c>
      <c r="F583" s="8">
        <v>1300000</v>
      </c>
      <c r="G583" s="8">
        <v>0</v>
      </c>
      <c r="H583" s="6">
        <v>1</v>
      </c>
      <c r="I583" s="6" t="s">
        <v>1828</v>
      </c>
      <c r="J583" s="6" t="s">
        <v>1829</v>
      </c>
    </row>
    <row r="584" spans="1:10" s="6" customFormat="1" ht="409.6" x14ac:dyDescent="0.3">
      <c r="A584" s="6" t="str">
        <f>HYPERLINK("https://grants.gov/search-results-detail/309813","7200AA19RFA00004")</f>
        <v>7200AA19RFA00004</v>
      </c>
      <c r="B584" s="6" t="s">
        <v>1837</v>
      </c>
      <c r="C584" s="6" t="s">
        <v>664</v>
      </c>
      <c r="D584" s="6" t="s">
        <v>665</v>
      </c>
      <c r="F584" s="8">
        <v>85000000</v>
      </c>
      <c r="G584" s="8">
        <v>0</v>
      </c>
      <c r="H584" s="6">
        <v>1</v>
      </c>
      <c r="I584" s="6" t="s">
        <v>1838</v>
      </c>
      <c r="J584" s="6" t="s">
        <v>1839</v>
      </c>
    </row>
    <row r="585" spans="1:10" s="6" customFormat="1" ht="409.6" x14ac:dyDescent="0.3">
      <c r="A585" s="6" t="str">
        <f>HYPERLINK("https://grants.gov/search-results-detail/305999","GLOBALHEALTH-BAA-2018")</f>
        <v>GLOBALHEALTH-BAA-2018</v>
      </c>
      <c r="B585" s="6" t="s">
        <v>1858</v>
      </c>
      <c r="C585" s="6" t="s">
        <v>664</v>
      </c>
      <c r="D585" s="6" t="s">
        <v>665</v>
      </c>
      <c r="F585" s="8">
        <v>0</v>
      </c>
      <c r="G585" s="8">
        <v>0</v>
      </c>
      <c r="I585" s="6" t="s">
        <v>48</v>
      </c>
      <c r="J585" s="6" t="s">
        <v>1859</v>
      </c>
    </row>
    <row r="586" spans="1:10" s="6" customFormat="1" ht="244.8" x14ac:dyDescent="0.3">
      <c r="A586" s="6" t="str">
        <f>HYPERLINK("https://grants.gov/search-results-detail/302225","720FDA18APS00001")</f>
        <v>720FDA18APS00001</v>
      </c>
      <c r="B586" s="6" t="s">
        <v>1863</v>
      </c>
      <c r="C586" s="6" t="s">
        <v>664</v>
      </c>
      <c r="D586" s="6" t="s">
        <v>665</v>
      </c>
      <c r="F586" s="8">
        <v>8000000</v>
      </c>
      <c r="G586" s="8">
        <v>8000000</v>
      </c>
      <c r="H586" s="6">
        <v>1</v>
      </c>
      <c r="I586" s="6" t="s">
        <v>48</v>
      </c>
      <c r="J586" s="6" t="s">
        <v>1864</v>
      </c>
    </row>
    <row r="587" spans="1:10" s="6" customFormat="1" ht="144" x14ac:dyDescent="0.3">
      <c r="A587" s="6" t="str">
        <f>HYPERLINK("https://grants.gov/search-results-detail/298577","720FDA18RFA00002")</f>
        <v>720FDA18RFA00002</v>
      </c>
      <c r="B587" s="6" t="s">
        <v>1878</v>
      </c>
      <c r="C587" s="6" t="s">
        <v>664</v>
      </c>
      <c r="D587" s="6" t="s">
        <v>665</v>
      </c>
      <c r="F587" s="8">
        <v>18000000</v>
      </c>
      <c r="G587" s="8">
        <v>18000000</v>
      </c>
      <c r="I587" s="6" t="s">
        <v>48</v>
      </c>
      <c r="J587" s="6" t="s">
        <v>1879</v>
      </c>
    </row>
    <row r="588" spans="1:10" s="6" customFormat="1" ht="403.2" x14ac:dyDescent="0.3">
      <c r="A588" s="6" t="str">
        <f>HYPERLINK("https://grants.gov/search-results-detail/297145","SOL-OFDA-17-000088")</f>
        <v>SOL-OFDA-17-000088</v>
      </c>
      <c r="B588" s="6" t="s">
        <v>1885</v>
      </c>
      <c r="C588" s="6" t="s">
        <v>664</v>
      </c>
      <c r="D588" s="6" t="s">
        <v>665</v>
      </c>
      <c r="F588" s="8">
        <v>0</v>
      </c>
      <c r="G588" s="8">
        <v>0</v>
      </c>
      <c r="I588" s="6" t="s">
        <v>48</v>
      </c>
      <c r="J588" s="6" t="s">
        <v>1886</v>
      </c>
    </row>
    <row r="589" spans="1:10" s="6" customFormat="1" ht="129.6" x14ac:dyDescent="0.3">
      <c r="A589" s="6" t="str">
        <f>HYPERLINK("https://grants.gov/search-results-detail/295147","APS-675-17-000001")</f>
        <v>APS-675-17-000001</v>
      </c>
      <c r="B589" s="6" t="s">
        <v>1889</v>
      </c>
      <c r="C589" s="6" t="s">
        <v>664</v>
      </c>
      <c r="D589" s="6" t="s">
        <v>665</v>
      </c>
      <c r="F589" s="8">
        <v>0</v>
      </c>
      <c r="G589" s="8">
        <v>0</v>
      </c>
      <c r="I589" s="6" t="s">
        <v>1890</v>
      </c>
      <c r="J589" s="6" t="s">
        <v>1891</v>
      </c>
    </row>
    <row r="590" spans="1:10" s="6" customFormat="1" ht="129.6" x14ac:dyDescent="0.3">
      <c r="A590" s="6" t="str">
        <f>HYPERLINK("https://grants.gov/search-results-detail/273354","BAA-GLOBALHEALTH-2015")</f>
        <v>BAA-GLOBALHEALTH-2015</v>
      </c>
      <c r="B590" s="6" t="s">
        <v>1938</v>
      </c>
      <c r="C590" s="6" t="s">
        <v>664</v>
      </c>
      <c r="D590" s="6" t="s">
        <v>665</v>
      </c>
      <c r="F590" s="8">
        <v>0</v>
      </c>
      <c r="G590" s="8">
        <v>0</v>
      </c>
      <c r="I590" s="6" t="s">
        <v>1939</v>
      </c>
      <c r="J590" s="6" t="s">
        <v>1940</v>
      </c>
    </row>
    <row r="591" spans="1:10" s="6" customFormat="1" ht="158.4" x14ac:dyDescent="0.3">
      <c r="A591" s="6" t="str">
        <f>HYPERLINK("https://grants.gov/search-results-detail/271284","BAA-DIA-GFBC-2015")</f>
        <v>BAA-DIA-GFBC-2015</v>
      </c>
      <c r="B591" s="6" t="s">
        <v>1941</v>
      </c>
      <c r="C591" s="6" t="s">
        <v>664</v>
      </c>
      <c r="D591" s="6" t="s">
        <v>665</v>
      </c>
      <c r="F591" s="8">
        <v>0</v>
      </c>
      <c r="G591" s="8">
        <v>0</v>
      </c>
      <c r="I591" s="6" t="s">
        <v>1942</v>
      </c>
      <c r="J591" s="6" t="s">
        <v>1943</v>
      </c>
    </row>
    <row r="592" spans="1:10" s="6" customFormat="1" ht="129.6" x14ac:dyDescent="0.3">
      <c r="A592" s="6" t="str">
        <f>HYPERLINK("https://grants.gov/search-results-detail/268349","BAA-EBOLA-2014")</f>
        <v>BAA-EBOLA-2014</v>
      </c>
      <c r="B592" s="6" t="s">
        <v>1949</v>
      </c>
      <c r="C592" s="6" t="s">
        <v>664</v>
      </c>
      <c r="D592" s="6" t="s">
        <v>665</v>
      </c>
      <c r="F592" s="8">
        <v>0</v>
      </c>
      <c r="G592" s="8">
        <v>0</v>
      </c>
      <c r="I592" s="6" t="s">
        <v>1950</v>
      </c>
      <c r="J592" s="6" t="s">
        <v>1951</v>
      </c>
    </row>
    <row r="593" spans="1:10" s="6" customFormat="1" ht="57.6" x14ac:dyDescent="0.3">
      <c r="A593" s="6" t="str">
        <f>HYPERLINK("https://grants.gov/search-results-detail/233279","APS-FFP-13-000001")</f>
        <v>APS-FFP-13-000001</v>
      </c>
      <c r="B593" s="6" t="s">
        <v>1967</v>
      </c>
      <c r="C593" s="6" t="s">
        <v>664</v>
      </c>
      <c r="D593" s="6" t="s">
        <v>665</v>
      </c>
      <c r="F593" s="8"/>
      <c r="G593" s="8"/>
      <c r="I593" s="6" t="s">
        <v>48</v>
      </c>
      <c r="J593" s="6" t="s">
        <v>1968</v>
      </c>
    </row>
    <row r="594" spans="1:10" s="6" customFormat="1" ht="244.8" x14ac:dyDescent="0.3">
      <c r="A594" s="6" t="str">
        <f>HYPERLINK("https://grants.gov/search-results-detail/187913","APS-OAA-12-000007")</f>
        <v>APS-OAA-12-000007</v>
      </c>
      <c r="B594" s="6" t="s">
        <v>1979</v>
      </c>
      <c r="C594" s="6" t="s">
        <v>664</v>
      </c>
      <c r="D594" s="6" t="s">
        <v>665</v>
      </c>
      <c r="F594" s="8">
        <v>2250000</v>
      </c>
      <c r="G594" s="8">
        <v>100000</v>
      </c>
      <c r="I594" s="6" t="s">
        <v>1980</v>
      </c>
      <c r="J594" s="6" t="s">
        <v>1981</v>
      </c>
    </row>
    <row r="595" spans="1:10" s="6" customFormat="1" ht="409.6" x14ac:dyDescent="0.3">
      <c r="A595" s="6" t="str">
        <f>HYPERLINK("https://grants.gov/search-results-detail/322853","72030620APS00001")</f>
        <v>72030620APS00001</v>
      </c>
      <c r="B595" s="6" t="s">
        <v>1808</v>
      </c>
      <c r="C595" s="6" t="s">
        <v>1809</v>
      </c>
      <c r="D595" s="6" t="s">
        <v>1810</v>
      </c>
      <c r="F595" s="8">
        <v>50000000</v>
      </c>
      <c r="G595" s="8">
        <v>0</v>
      </c>
      <c r="H595" s="6">
        <v>3</v>
      </c>
      <c r="I595" s="6" t="s">
        <v>48</v>
      </c>
      <c r="J595" s="6" t="s">
        <v>1811</v>
      </c>
    </row>
    <row r="596" spans="1:10" s="6" customFormat="1" ht="172.8" x14ac:dyDescent="0.3">
      <c r="A596" s="6" t="str">
        <f>HYPERLINK("https://grants.gov/search-results-detail/297845","APS-OAA-16-000001")</f>
        <v>APS-OAA-16-000001</v>
      </c>
      <c r="B596" s="6" t="s">
        <v>1880</v>
      </c>
      <c r="C596" s="6" t="s">
        <v>1881</v>
      </c>
      <c r="D596" s="6" t="s">
        <v>1882</v>
      </c>
      <c r="F596" s="8">
        <v>3333333</v>
      </c>
      <c r="G596" s="8">
        <v>0</v>
      </c>
      <c r="H596" s="6">
        <v>3</v>
      </c>
      <c r="I596" s="6" t="s">
        <v>1883</v>
      </c>
      <c r="J596" s="6" t="s">
        <v>1884</v>
      </c>
    </row>
    <row r="597" spans="1:10" s="6" customFormat="1" ht="187.2" x14ac:dyDescent="0.3">
      <c r="A597" s="6" t="str">
        <f>HYPERLINK("https://grants.gov/search-results-detail/355506","72060524APS00001")</f>
        <v>72060524APS00001</v>
      </c>
      <c r="B597" s="6" t="s">
        <v>1268</v>
      </c>
      <c r="C597" s="6" t="s">
        <v>1269</v>
      </c>
      <c r="D597" s="6" t="s">
        <v>1270</v>
      </c>
      <c r="E597" s="7">
        <v>45731</v>
      </c>
      <c r="F597" s="8">
        <v>5000000</v>
      </c>
      <c r="G597" s="8">
        <v>100000</v>
      </c>
      <c r="H597" s="6">
        <v>20</v>
      </c>
      <c r="I597" s="6" t="s">
        <v>1271</v>
      </c>
      <c r="J597" s="6" t="s">
        <v>1272</v>
      </c>
    </row>
    <row r="598" spans="1:10" s="6" customFormat="1" ht="403.2" x14ac:dyDescent="0.3">
      <c r="A598" s="6" t="str">
        <f>HYPERLINK("https://grants.gov/search-results-detail/252969","AID-263-14-000005")</f>
        <v>AID-263-14-000005</v>
      </c>
      <c r="B598" s="6" t="s">
        <v>1958</v>
      </c>
      <c r="C598" s="6" t="s">
        <v>1959</v>
      </c>
      <c r="D598" s="6" t="s">
        <v>1960</v>
      </c>
      <c r="F598" s="8">
        <v>20000</v>
      </c>
      <c r="G598" s="8">
        <v>0</v>
      </c>
      <c r="H598" s="6">
        <v>1</v>
      </c>
      <c r="I598" s="6" t="s">
        <v>1961</v>
      </c>
      <c r="J598" s="6" t="s">
        <v>1962</v>
      </c>
    </row>
    <row r="599" spans="1:10" s="6" customFormat="1" ht="409.6" x14ac:dyDescent="0.3">
      <c r="A599" s="6" t="str">
        <f>HYPERLINK("https://grants.gov/search-results-detail/50471","PRE-SOLICITATION-NOTICE-YEMEN")</f>
        <v>PRE-SOLICITATION-NOTICE-YEMEN</v>
      </c>
      <c r="B599" s="6" t="s">
        <v>2024</v>
      </c>
      <c r="C599" s="6" t="s">
        <v>1959</v>
      </c>
      <c r="D599" s="6" t="s">
        <v>1960</v>
      </c>
      <c r="F599" s="8"/>
      <c r="G599" s="8"/>
      <c r="H599" s="6">
        <v>1</v>
      </c>
      <c r="I599" s="6" t="s">
        <v>2025</v>
      </c>
      <c r="J599" s="6" t="s">
        <v>2026</v>
      </c>
    </row>
    <row r="600" spans="1:10" s="6" customFormat="1" ht="409.6" x14ac:dyDescent="0.3">
      <c r="A600" s="6" t="str">
        <f>HYPERLINK("https://grants.gov/search-results-detail/50473","PRE-SOLICITATION-NOTICE-USAID-YEMEN")</f>
        <v>PRE-SOLICITATION-NOTICE-USAID-YEMEN</v>
      </c>
      <c r="B600" s="6" t="s">
        <v>2027</v>
      </c>
      <c r="C600" s="6" t="s">
        <v>1959</v>
      </c>
      <c r="D600" s="6" t="s">
        <v>1960</v>
      </c>
      <c r="F600" s="8"/>
      <c r="G600" s="8"/>
      <c r="H600" s="6">
        <v>1</v>
      </c>
      <c r="I600" s="6" t="s">
        <v>2025</v>
      </c>
      <c r="J600" s="6" t="s">
        <v>2028</v>
      </c>
    </row>
    <row r="601" spans="1:10" s="6" customFormat="1" ht="86.4" x14ac:dyDescent="0.3">
      <c r="A601" s="6" t="str">
        <f>HYPERLINK("https://grants.gov/search-results-detail/250255","114-14-INFORMATION")</f>
        <v>114-14-INFORMATION</v>
      </c>
      <c r="B601" s="6" t="s">
        <v>1963</v>
      </c>
      <c r="C601" s="6" t="s">
        <v>1964</v>
      </c>
      <c r="D601" s="6" t="s">
        <v>1965</v>
      </c>
      <c r="F601" s="8">
        <v>0</v>
      </c>
      <c r="G601" s="8">
        <v>0</v>
      </c>
      <c r="H601" s="6">
        <v>10</v>
      </c>
      <c r="I601" s="6" t="s">
        <v>48</v>
      </c>
      <c r="J601" s="6" t="s">
        <v>1966</v>
      </c>
    </row>
    <row r="602" spans="1:10" s="6" customFormat="1" ht="273.60000000000002" x14ac:dyDescent="0.3">
      <c r="A602" s="6" t="str">
        <f>HYPERLINK("https://grants.gov/search-results-detail/356153","72062424RFA00012")</f>
        <v>72062424RFA00012</v>
      </c>
      <c r="B602" s="6" t="s">
        <v>1242</v>
      </c>
      <c r="C602" s="6" t="s">
        <v>1243</v>
      </c>
      <c r="D602" s="6" t="s">
        <v>1244</v>
      </c>
      <c r="F602" s="8">
        <v>2400000</v>
      </c>
      <c r="G602" s="8">
        <v>2400000</v>
      </c>
      <c r="H602" s="6">
        <v>1</v>
      </c>
      <c r="I602" s="6" t="s">
        <v>1245</v>
      </c>
      <c r="J602" s="6" t="s">
        <v>1246</v>
      </c>
    </row>
    <row r="603" spans="1:10" s="6" customFormat="1" ht="244.8" x14ac:dyDescent="0.3">
      <c r="A603" s="6" t="str">
        <f>HYPERLINK("https://grants.gov/search-results-detail/338128","72067522APS00002")</f>
        <v>72067522APS00002</v>
      </c>
      <c r="B603" s="6" t="s">
        <v>1656</v>
      </c>
      <c r="C603" s="6" t="s">
        <v>1657</v>
      </c>
      <c r="D603" s="6" t="s">
        <v>1658</v>
      </c>
      <c r="E603" s="7">
        <v>45713</v>
      </c>
      <c r="F603" s="8">
        <v>0</v>
      </c>
      <c r="G603" s="8">
        <v>0</v>
      </c>
      <c r="I603" s="6" t="s">
        <v>48</v>
      </c>
      <c r="J603" s="6" t="s">
        <v>1659</v>
      </c>
    </row>
    <row r="604" spans="1:10" s="6" customFormat="1" ht="409.6" x14ac:dyDescent="0.3">
      <c r="A604" s="6" t="str">
        <f>HYPERLINK("https://grants.gov/search-results-detail/337250","PRE-SOLICITATION-675-22-000001")</f>
        <v>PRE-SOLICITATION-675-22-000001</v>
      </c>
      <c r="B604" s="6" t="s">
        <v>1660</v>
      </c>
      <c r="C604" s="6" t="s">
        <v>1657</v>
      </c>
      <c r="D604" s="6" t="s">
        <v>1658</v>
      </c>
      <c r="F604" s="8">
        <v>73000000</v>
      </c>
      <c r="G604" s="8">
        <v>73000000</v>
      </c>
      <c r="H604" s="6">
        <v>1</v>
      </c>
      <c r="I604" s="6" t="s">
        <v>48</v>
      </c>
      <c r="J604" s="6" t="s">
        <v>1661</v>
      </c>
    </row>
    <row r="605" spans="1:10" s="6" customFormat="1" ht="115.2" x14ac:dyDescent="0.3">
      <c r="A605" s="6" t="str">
        <f>HYPERLINK("https://grants.gov/search-results-detail/340428","72052222APS00002")</f>
        <v>72052222APS00002</v>
      </c>
      <c r="B605" s="6" t="s">
        <v>1625</v>
      </c>
      <c r="C605" s="6" t="s">
        <v>1626</v>
      </c>
      <c r="D605" s="6" t="s">
        <v>1627</v>
      </c>
      <c r="E605" s="7">
        <v>45792</v>
      </c>
      <c r="F605" s="8">
        <v>49500000</v>
      </c>
      <c r="G605" s="8">
        <v>2000000</v>
      </c>
      <c r="H605" s="6">
        <v>20</v>
      </c>
      <c r="I605" s="6" t="s">
        <v>1628</v>
      </c>
      <c r="J605" s="6" t="s">
        <v>1629</v>
      </c>
    </row>
    <row r="606" spans="1:10" s="6" customFormat="1" ht="409.6" x14ac:dyDescent="0.3">
      <c r="A606" s="6" t="str">
        <f>HYPERLINK("https://grants.gov/search-results-detail/345910","72049723APS00001-AND-ADDENDUMS")</f>
        <v>72049723APS00001-AND-ADDENDUMS</v>
      </c>
      <c r="B606" s="6" t="s">
        <v>1540</v>
      </c>
      <c r="C606" s="6" t="s">
        <v>1541</v>
      </c>
      <c r="D606" s="6" t="s">
        <v>1542</v>
      </c>
      <c r="F606" s="8">
        <v>150000000</v>
      </c>
      <c r="G606" s="8">
        <v>0</v>
      </c>
      <c r="I606" s="6" t="s">
        <v>1543</v>
      </c>
      <c r="J606" s="6" t="s">
        <v>1544</v>
      </c>
    </row>
    <row r="607" spans="1:10" s="6" customFormat="1" ht="129.6" x14ac:dyDescent="0.3">
      <c r="A607" s="6" t="str">
        <f>HYPERLINK("https://grants.gov/search-results-detail/334342","72061521RFA000016")</f>
        <v>72061521RFA000016</v>
      </c>
      <c r="B607" s="6" t="s">
        <v>1685</v>
      </c>
      <c r="C607" s="6" t="s">
        <v>1686</v>
      </c>
      <c r="D607" s="6" t="s">
        <v>1687</v>
      </c>
      <c r="F607" s="8">
        <v>7800000</v>
      </c>
      <c r="G607" s="8">
        <v>0</v>
      </c>
      <c r="H607" s="6">
        <v>1</v>
      </c>
      <c r="I607" s="6" t="s">
        <v>48</v>
      </c>
      <c r="J607" s="6" t="s">
        <v>1688</v>
      </c>
    </row>
    <row r="608" spans="1:10" s="6" customFormat="1" ht="72" x14ac:dyDescent="0.3">
      <c r="A608" s="6" t="str">
        <f>HYPERLINK("https://grants.gov/search-results-detail/147073","APS-623-12-000001")</f>
        <v>APS-623-12-000001</v>
      </c>
      <c r="B608" s="6" t="s">
        <v>1991</v>
      </c>
      <c r="C608" s="6" t="s">
        <v>1686</v>
      </c>
      <c r="D608" s="6" t="s">
        <v>1687</v>
      </c>
      <c r="F608" s="8">
        <v>2500000</v>
      </c>
      <c r="G608" s="8">
        <v>100000</v>
      </c>
      <c r="I608" s="6" t="s">
        <v>1992</v>
      </c>
      <c r="J608" s="6" t="s">
        <v>1993</v>
      </c>
    </row>
    <row r="609" spans="1:10" s="6" customFormat="1" ht="409.6" x14ac:dyDescent="0.3">
      <c r="A609" s="6" t="str">
        <f>HYPERLINK("https://grants.gov/search-results-detail/335595","72068821APS00003")</f>
        <v>72068821APS00003</v>
      </c>
      <c r="B609" s="6" t="s">
        <v>1681</v>
      </c>
      <c r="C609" s="6" t="s">
        <v>1682</v>
      </c>
      <c r="D609" s="6" t="s">
        <v>1683</v>
      </c>
      <c r="F609" s="8">
        <v>3000000</v>
      </c>
      <c r="G609" s="8">
        <v>250000</v>
      </c>
      <c r="I609" s="6" t="s">
        <v>48</v>
      </c>
      <c r="J609" s="6" t="s">
        <v>1684</v>
      </c>
    </row>
    <row r="610" spans="1:10" s="6" customFormat="1" ht="86.4" x14ac:dyDescent="0.3">
      <c r="A610" s="6" t="str">
        <f>HYPERLINK("https://grants.gov/search-results-detail/301155","PRE-SOLICITATION")</f>
        <v>PRE-SOLICITATION</v>
      </c>
      <c r="B610" s="6" t="s">
        <v>1865</v>
      </c>
      <c r="C610" s="6" t="s">
        <v>1866</v>
      </c>
      <c r="D610" s="6" t="s">
        <v>1867</v>
      </c>
      <c r="F610" s="8">
        <v>49700000</v>
      </c>
      <c r="G610" s="8">
        <v>0</v>
      </c>
      <c r="H610" s="6">
        <v>1</v>
      </c>
      <c r="I610" s="6" t="s">
        <v>48</v>
      </c>
      <c r="J610" s="6" t="s">
        <v>1868</v>
      </c>
    </row>
    <row r="611" spans="1:10" s="6" customFormat="1" ht="158.4" x14ac:dyDescent="0.3">
      <c r="A611" s="6" t="str">
        <f>HYPERLINK("https://grants.gov/search-results-detail/353979","72052324APS00001")</f>
        <v>72052324APS00001</v>
      </c>
      <c r="B611" s="6" t="s">
        <v>1307</v>
      </c>
      <c r="C611" s="6" t="s">
        <v>1308</v>
      </c>
      <c r="D611" s="6" t="s">
        <v>1309</v>
      </c>
      <c r="E611" s="7">
        <v>45779</v>
      </c>
      <c r="F611" s="8">
        <v>100000000</v>
      </c>
      <c r="G611" s="8">
        <v>100000</v>
      </c>
      <c r="I611" s="6" t="s">
        <v>48</v>
      </c>
      <c r="J611" s="6" t="s">
        <v>1310</v>
      </c>
    </row>
    <row r="612" spans="1:10" s="6" customFormat="1" ht="72" x14ac:dyDescent="0.3">
      <c r="A612" s="6" t="str">
        <f>HYPERLINK("https://grants.gov/search-results-detail/357921","RFI-720656-2024-FP")</f>
        <v>RFI-720656-2024-FP</v>
      </c>
      <c r="B612" s="6" t="s">
        <v>623</v>
      </c>
      <c r="C612" s="6" t="s">
        <v>624</v>
      </c>
      <c r="D612" s="6" t="s">
        <v>625</v>
      </c>
      <c r="E612" s="7">
        <v>45703</v>
      </c>
      <c r="F612" s="8">
        <v>0</v>
      </c>
      <c r="G612" s="8">
        <v>0</v>
      </c>
      <c r="I612" s="6" t="s">
        <v>48</v>
      </c>
      <c r="J612" s="6" t="s">
        <v>626</v>
      </c>
    </row>
    <row r="613" spans="1:10" s="6" customFormat="1" ht="129.6" x14ac:dyDescent="0.3">
      <c r="A613" s="6" t="str">
        <f>HYPERLINK("https://grants.gov/search-results-detail/357512","72065625RFA00005")</f>
        <v>72065625RFA00005</v>
      </c>
      <c r="B613" s="6" t="s">
        <v>955</v>
      </c>
      <c r="C613" s="6" t="s">
        <v>624</v>
      </c>
      <c r="D613" s="6" t="s">
        <v>625</v>
      </c>
      <c r="E613" s="7">
        <v>45705</v>
      </c>
      <c r="F613" s="8">
        <v>77500000</v>
      </c>
      <c r="G613" s="8">
        <v>7000000</v>
      </c>
      <c r="H613" s="6">
        <v>1</v>
      </c>
      <c r="I613" s="6" t="s">
        <v>956</v>
      </c>
      <c r="J613" s="6" t="s">
        <v>626</v>
      </c>
    </row>
    <row r="614" spans="1:10" s="6" customFormat="1" ht="129.6" x14ac:dyDescent="0.3">
      <c r="A614" s="6" t="str">
        <f>HYPERLINK("https://grants.gov/search-results-detail/357508","72065625RFA00002")</f>
        <v>72065625RFA00002</v>
      </c>
      <c r="B614" s="6" t="s">
        <v>957</v>
      </c>
      <c r="C614" s="6" t="s">
        <v>624</v>
      </c>
      <c r="D614" s="6" t="s">
        <v>625</v>
      </c>
      <c r="E614" s="7">
        <v>45705</v>
      </c>
      <c r="F614" s="8">
        <v>77500000</v>
      </c>
      <c r="G614" s="8">
        <v>7000000</v>
      </c>
      <c r="H614" s="6">
        <v>1</v>
      </c>
      <c r="I614" s="6" t="s">
        <v>956</v>
      </c>
      <c r="J614" s="6" t="s">
        <v>626</v>
      </c>
    </row>
    <row r="615" spans="1:10" s="6" customFormat="1" ht="409.6" x14ac:dyDescent="0.3">
      <c r="A615" s="6" t="str">
        <f>HYPERLINK("https://grants.gov/search-results-detail/259510","APS-620-14-000001")</f>
        <v>APS-620-14-000001</v>
      </c>
      <c r="B615" s="6" t="s">
        <v>1952</v>
      </c>
      <c r="C615" s="6" t="s">
        <v>1953</v>
      </c>
      <c r="D615" s="6" t="s">
        <v>1954</v>
      </c>
      <c r="F615" s="8">
        <v>15000000</v>
      </c>
      <c r="G615" s="8">
        <v>300000</v>
      </c>
      <c r="H615" s="6">
        <v>6</v>
      </c>
      <c r="I615" s="6" t="s">
        <v>48</v>
      </c>
      <c r="J615" s="6" t="s">
        <v>1955</v>
      </c>
    </row>
    <row r="616" spans="1:10" s="6" customFormat="1" ht="57.6" x14ac:dyDescent="0.3">
      <c r="A616" s="6" t="str">
        <f>HYPERLINK("https://grants.gov/search-results-detail/228973","RFA-391-13-000009")</f>
        <v>RFA-391-13-000009</v>
      </c>
      <c r="B616" s="6" t="s">
        <v>1969</v>
      </c>
      <c r="C616" s="6" t="s">
        <v>1970</v>
      </c>
      <c r="D616" s="6" t="s">
        <v>1971</v>
      </c>
      <c r="F616" s="8"/>
      <c r="G616" s="8"/>
      <c r="H616" s="6">
        <v>0</v>
      </c>
      <c r="I616" s="6" t="s">
        <v>1972</v>
      </c>
      <c r="J616" s="6" t="s">
        <v>1973</v>
      </c>
    </row>
    <row r="617" spans="1:10" s="6" customFormat="1" ht="158.4" x14ac:dyDescent="0.3">
      <c r="A617" s="6" t="str">
        <f>HYPERLINK("https://grants.gov/search-results-detail/269955","BAA-BCA-BRAZIL-2015")</f>
        <v>BAA-BCA-BRAZIL-2015</v>
      </c>
      <c r="B617" s="6" t="s">
        <v>1944</v>
      </c>
      <c r="C617" s="6" t="s">
        <v>1945</v>
      </c>
      <c r="D617" s="6" t="s">
        <v>1946</v>
      </c>
      <c r="F617" s="8">
        <v>0</v>
      </c>
      <c r="G617" s="8">
        <v>0</v>
      </c>
      <c r="I617" s="6" t="s">
        <v>1947</v>
      </c>
      <c r="J617" s="6" t="s">
        <v>1948</v>
      </c>
    </row>
    <row r="618" spans="1:10" s="6" customFormat="1" ht="230.4" x14ac:dyDescent="0.3">
      <c r="A618" s="6" t="str">
        <f>HYPERLINK("https://grants.gov/search-results-detail/357701","72049223APS00001-6")</f>
        <v>72049223APS00001-6</v>
      </c>
      <c r="B618" s="6" t="s">
        <v>820</v>
      </c>
      <c r="C618" s="6" t="s">
        <v>821</v>
      </c>
      <c r="D618" s="6" t="s">
        <v>822</v>
      </c>
      <c r="E618" s="7">
        <v>45716</v>
      </c>
      <c r="F618" s="8">
        <v>21600000</v>
      </c>
      <c r="G618" s="8">
        <v>21600000</v>
      </c>
      <c r="H618" s="6">
        <v>1</v>
      </c>
      <c r="I618" s="6" t="s">
        <v>823</v>
      </c>
      <c r="J618" s="6" t="s">
        <v>824</v>
      </c>
    </row>
    <row r="619" spans="1:10" s="6" customFormat="1" ht="187.2" x14ac:dyDescent="0.3">
      <c r="A619" s="6" t="str">
        <f>HYPERLINK("https://grants.gov/search-results-detail/315196","72049219APS00001-02")</f>
        <v>72049219APS00001-02</v>
      </c>
      <c r="B619" s="6" t="s">
        <v>1822</v>
      </c>
      <c r="C619" s="6" t="s">
        <v>821</v>
      </c>
      <c r="D619" s="6" t="s">
        <v>822</v>
      </c>
      <c r="F619" s="8">
        <v>8000000</v>
      </c>
      <c r="G619" s="8">
        <v>7500000</v>
      </c>
      <c r="H619" s="6">
        <v>1</v>
      </c>
      <c r="I619" s="6" t="s">
        <v>1823</v>
      </c>
      <c r="J619" s="6" t="s">
        <v>1824</v>
      </c>
    </row>
    <row r="620" spans="1:10" s="6" customFormat="1" ht="273.60000000000002" x14ac:dyDescent="0.3">
      <c r="A620" s="6" t="str">
        <f>HYPERLINK("https://grants.gov/search-results-detail/358214","72067425RFA00003")</f>
        <v>72067425RFA00003</v>
      </c>
      <c r="B620" s="6" t="s">
        <v>313</v>
      </c>
      <c r="C620" s="6" t="s">
        <v>314</v>
      </c>
      <c r="D620" s="6" t="s">
        <v>315</v>
      </c>
      <c r="E620" s="7">
        <v>45706</v>
      </c>
      <c r="F620" s="8">
        <v>5000000</v>
      </c>
      <c r="G620" s="8">
        <v>0</v>
      </c>
      <c r="H620" s="6">
        <v>1</v>
      </c>
      <c r="I620" s="6" t="s">
        <v>48</v>
      </c>
      <c r="J620" s="6" t="s">
        <v>316</v>
      </c>
    </row>
    <row r="621" spans="1:10" s="6" customFormat="1" ht="86.4" x14ac:dyDescent="0.3">
      <c r="A621" s="6" t="str">
        <f>HYPERLINK("https://grants.gov/search-results-detail/169333","RFA-674-12-000006")</f>
        <v>RFA-674-12-000006</v>
      </c>
      <c r="B621" s="6" t="s">
        <v>1985</v>
      </c>
      <c r="C621" s="6" t="s">
        <v>314</v>
      </c>
      <c r="D621" s="6" t="s">
        <v>315</v>
      </c>
      <c r="F621" s="8">
        <v>20000000</v>
      </c>
      <c r="G621" s="8">
        <v>1</v>
      </c>
      <c r="H621" s="6">
        <v>5</v>
      </c>
      <c r="I621" s="6" t="s">
        <v>1986</v>
      </c>
      <c r="J621" s="6" t="s">
        <v>1987</v>
      </c>
    </row>
    <row r="622" spans="1:10" s="6" customFormat="1" ht="72" x14ac:dyDescent="0.3">
      <c r="A622" s="6" t="str">
        <f>HYPERLINK("https://grants.gov/search-results-detail/169154","RFA-674-12-000005")</f>
        <v>RFA-674-12-000005</v>
      </c>
      <c r="B622" s="6" t="s">
        <v>1988</v>
      </c>
      <c r="C622" s="6" t="s">
        <v>314</v>
      </c>
      <c r="D622" s="6" t="s">
        <v>315</v>
      </c>
      <c r="F622" s="8">
        <v>20000000</v>
      </c>
      <c r="G622" s="8">
        <v>1</v>
      </c>
      <c r="H622" s="6">
        <v>4</v>
      </c>
      <c r="I622" s="6" t="s">
        <v>1989</v>
      </c>
      <c r="J622" s="6" t="s">
        <v>1990</v>
      </c>
    </row>
    <row r="623" spans="1:10" s="6" customFormat="1" ht="57.6" x14ac:dyDescent="0.3">
      <c r="A623" s="6" t="str">
        <f>HYPERLINK("https://grants.gov/search-results-detail/133033","RFA-674-12-000002")</f>
        <v>RFA-674-12-000002</v>
      </c>
      <c r="B623" s="6" t="s">
        <v>1997</v>
      </c>
      <c r="C623" s="6" t="s">
        <v>314</v>
      </c>
      <c r="D623" s="6" t="s">
        <v>315</v>
      </c>
      <c r="F623" s="8">
        <v>150000000</v>
      </c>
      <c r="G623" s="8">
        <v>10000000</v>
      </c>
      <c r="H623" s="6">
        <v>8</v>
      </c>
      <c r="I623" s="6" t="s">
        <v>1998</v>
      </c>
      <c r="J623" s="6" t="s">
        <v>1999</v>
      </c>
    </row>
    <row r="624" spans="1:10" s="6" customFormat="1" ht="409.6" x14ac:dyDescent="0.3">
      <c r="A624" s="6" t="str">
        <f>HYPERLINK("https://grants.gov/search-results-detail/310897","RFI-685-19-RGN")</f>
        <v>RFI-685-19-RGN</v>
      </c>
      <c r="B624" s="6" t="s">
        <v>1830</v>
      </c>
      <c r="C624" s="6" t="s">
        <v>1831</v>
      </c>
      <c r="D624" s="6" t="s">
        <v>1832</v>
      </c>
      <c r="F624" s="8">
        <v>0</v>
      </c>
      <c r="G624" s="8">
        <v>0</v>
      </c>
      <c r="I624" s="6" t="s">
        <v>48</v>
      </c>
      <c r="J624" s="6" t="s">
        <v>1833</v>
      </c>
    </row>
    <row r="625" spans="1:10" s="6" customFormat="1" ht="259.2" x14ac:dyDescent="0.3">
      <c r="A625" s="6" t="str">
        <f>HYPERLINK("https://grants.gov/search-results-detail/305335","RFI-625-18-RISEII-HSD")</f>
        <v>RFI-625-18-RISEII-HSD</v>
      </c>
      <c r="B625" s="6" t="s">
        <v>1860</v>
      </c>
      <c r="C625" s="6" t="s">
        <v>1831</v>
      </c>
      <c r="D625" s="6" t="s">
        <v>1832</v>
      </c>
      <c r="F625" s="8"/>
      <c r="G625" s="8"/>
      <c r="H625" s="6">
        <v>1</v>
      </c>
      <c r="I625" s="6" t="s">
        <v>1861</v>
      </c>
      <c r="J625" s="6" t="s">
        <v>1862</v>
      </c>
    </row>
    <row r="626" spans="1:10" s="6" customFormat="1" ht="409.6" x14ac:dyDescent="0.3">
      <c r="A626" s="6" t="str">
        <f>HYPERLINK("https://grants.gov/search-results-detail/300813","RFI-625-18-RISEII")</f>
        <v>RFI-625-18-RISEII</v>
      </c>
      <c r="B626" s="6" t="s">
        <v>1875</v>
      </c>
      <c r="C626" s="6" t="s">
        <v>1831</v>
      </c>
      <c r="D626" s="6" t="s">
        <v>1832</v>
      </c>
      <c r="F626" s="8">
        <v>0</v>
      </c>
      <c r="G626" s="8">
        <v>0</v>
      </c>
      <c r="I626" s="6" t="s">
        <v>1876</v>
      </c>
      <c r="J626" s="6" t="s">
        <v>1877</v>
      </c>
    </row>
    <row r="627" spans="1:10" s="6" customFormat="1" ht="273.60000000000002" x14ac:dyDescent="0.3">
      <c r="A627" s="6" t="str">
        <f>HYPERLINK("https://grants.gov/search-results-detail/292502","RFI-383-17-GVP-CS")</f>
        <v>RFI-383-17-GVP-CS</v>
      </c>
      <c r="B627" s="6" t="s">
        <v>1895</v>
      </c>
      <c r="C627" s="6" t="s">
        <v>1896</v>
      </c>
      <c r="D627" s="6" t="s">
        <v>1897</v>
      </c>
      <c r="F627" s="8">
        <v>10000000</v>
      </c>
      <c r="G627" s="8">
        <v>0</v>
      </c>
      <c r="H627" s="6">
        <v>1</v>
      </c>
      <c r="I627" s="6" t="s">
        <v>1898</v>
      </c>
      <c r="J627" s="6" t="s">
        <v>1899</v>
      </c>
    </row>
    <row r="628" spans="1:10" s="6" customFormat="1" ht="409.6" x14ac:dyDescent="0.3">
      <c r="A628" s="6" t="str">
        <f>HYPERLINK("https://grants.gov/search-results-detail/275378","USAID-RDMA-486-15-000011-PRESOLNOTICE")</f>
        <v>USAID-RDMA-486-15-000011-PRESOLNOTICE</v>
      </c>
      <c r="B628" s="6" t="s">
        <v>1924</v>
      </c>
      <c r="C628" s="6" t="s">
        <v>1925</v>
      </c>
      <c r="D628" s="6" t="s">
        <v>1926</v>
      </c>
      <c r="F628" s="8">
        <v>0</v>
      </c>
      <c r="G628" s="8">
        <v>0</v>
      </c>
      <c r="H628" s="6">
        <v>0</v>
      </c>
      <c r="I628" s="6" t="s">
        <v>1927</v>
      </c>
      <c r="J628" s="6" t="s">
        <v>1928</v>
      </c>
    </row>
    <row r="629" spans="1:10" s="6" customFormat="1" ht="409.6" x14ac:dyDescent="0.3">
      <c r="A629" s="6" t="str">
        <f>HYPERLINK("https://grants.gov/search-results-detail/42423","306-08-027-RFI")</f>
        <v>306-08-027-RFI</v>
      </c>
      <c r="B629" s="6" t="s">
        <v>2038</v>
      </c>
      <c r="C629" s="6" t="s">
        <v>1925</v>
      </c>
      <c r="D629" s="6" t="s">
        <v>1926</v>
      </c>
      <c r="F629" s="8">
        <v>150000000</v>
      </c>
      <c r="G629" s="8">
        <v>0</v>
      </c>
      <c r="H629" s="6">
        <v>1</v>
      </c>
      <c r="I629" s="6" t="s">
        <v>48</v>
      </c>
      <c r="J629" s="6" t="s">
        <v>2039</v>
      </c>
    </row>
    <row r="630" spans="1:10" s="6" customFormat="1" ht="216" x14ac:dyDescent="0.3">
      <c r="A630" s="6" t="str">
        <f>HYPERLINK("https://grants.gov/search-results-detail/90013","USAID-UGANDA-617-INFORMATION-04-2011")</f>
        <v>USAID-UGANDA-617-INFORMATION-04-2011</v>
      </c>
      <c r="B630" s="6" t="s">
        <v>2009</v>
      </c>
      <c r="C630" s="6" t="s">
        <v>2010</v>
      </c>
      <c r="D630" s="6" t="s">
        <v>2011</v>
      </c>
      <c r="F630" s="8">
        <v>0</v>
      </c>
      <c r="G630" s="8">
        <v>0</v>
      </c>
      <c r="I630" s="6" t="s">
        <v>48</v>
      </c>
      <c r="J630" s="6" t="s">
        <v>2012</v>
      </c>
    </row>
    <row r="631" spans="1:10" s="6" customFormat="1" ht="158.4" x14ac:dyDescent="0.3">
      <c r="A631" s="6" t="str">
        <f>HYPERLINK("https://grants.gov/search-results-detail/59713","USAID-UGANDA-617-INFOMATION-10-2010")</f>
        <v>USAID-UGANDA-617-INFOMATION-10-2010</v>
      </c>
      <c r="B631" s="6" t="s">
        <v>2013</v>
      </c>
      <c r="C631" s="6" t="s">
        <v>2010</v>
      </c>
      <c r="D631" s="6" t="s">
        <v>2011</v>
      </c>
      <c r="F631" s="8"/>
      <c r="G631" s="8"/>
      <c r="H631" s="6">
        <v>0</v>
      </c>
      <c r="I631" s="6" t="s">
        <v>48</v>
      </c>
      <c r="J631" s="6" t="s">
        <v>2014</v>
      </c>
    </row>
    <row r="632" spans="1:10" s="6" customFormat="1" ht="100.8" x14ac:dyDescent="0.3">
      <c r="A632" s="6" t="str">
        <f>HYPERLINK("https://grants.gov/search-results-detail/347779","72044023RFA00003")</f>
        <v>72044023RFA00003</v>
      </c>
      <c r="B632" s="6" t="s">
        <v>1484</v>
      </c>
      <c r="C632" s="6" t="s">
        <v>1485</v>
      </c>
      <c r="D632" s="6" t="s">
        <v>1486</v>
      </c>
      <c r="F632" s="8">
        <v>48000000</v>
      </c>
      <c r="G632" s="8">
        <v>0</v>
      </c>
      <c r="H632" s="6">
        <v>1</v>
      </c>
      <c r="I632" s="6" t="s">
        <v>48</v>
      </c>
      <c r="J632" s="6" t="s">
        <v>1487</v>
      </c>
    </row>
    <row r="633" spans="1:10" s="6" customFormat="1" ht="86.4" x14ac:dyDescent="0.3">
      <c r="A633" s="6" t="str">
        <f>HYPERLINK("https://grants.gov/search-results-detail/341347","72044022RFA00005")</f>
        <v>72044022RFA00005</v>
      </c>
      <c r="B633" s="6" t="s">
        <v>1615</v>
      </c>
      <c r="C633" s="6" t="s">
        <v>1485</v>
      </c>
      <c r="D633" s="6" t="s">
        <v>1486</v>
      </c>
      <c r="F633" s="8">
        <v>12500000</v>
      </c>
      <c r="G633" s="8">
        <v>0</v>
      </c>
      <c r="H633" s="6">
        <v>1</v>
      </c>
      <c r="I633" s="6" t="s">
        <v>48</v>
      </c>
      <c r="J633" s="6" t="s">
        <v>1616</v>
      </c>
    </row>
    <row r="634" spans="1:10" s="6" customFormat="1" ht="100.8" x14ac:dyDescent="0.3">
      <c r="A634" s="6" t="str">
        <f>HYPERLINK("https://grants.gov/search-results-detail/340203","72044022RFA00003")</f>
        <v>72044022RFA00003</v>
      </c>
      <c r="B634" s="6" t="s">
        <v>1630</v>
      </c>
      <c r="C634" s="6" t="s">
        <v>1485</v>
      </c>
      <c r="D634" s="6" t="s">
        <v>1486</v>
      </c>
      <c r="F634" s="8">
        <v>5514000</v>
      </c>
      <c r="G634" s="8">
        <v>0</v>
      </c>
      <c r="H634" s="6">
        <v>1</v>
      </c>
      <c r="I634" s="6" t="s">
        <v>1631</v>
      </c>
      <c r="J634" s="6" t="s">
        <v>1632</v>
      </c>
    </row>
    <row r="635" spans="1:10" s="6" customFormat="1" ht="144" x14ac:dyDescent="0.3">
      <c r="A635" s="6" t="str">
        <f>HYPERLINK("https://grants.gov/search-results-detail/339224","72044022RFA00002")</f>
        <v>72044022RFA00002</v>
      </c>
      <c r="B635" s="6" t="s">
        <v>1644</v>
      </c>
      <c r="C635" s="6" t="s">
        <v>1485</v>
      </c>
      <c r="D635" s="6" t="s">
        <v>1486</v>
      </c>
      <c r="F635" s="8">
        <v>21400000</v>
      </c>
      <c r="G635" s="8">
        <v>0</v>
      </c>
      <c r="H635" s="6">
        <v>1</v>
      </c>
      <c r="I635" s="6" t="s">
        <v>48</v>
      </c>
      <c r="J635" s="6" t="s">
        <v>1645</v>
      </c>
    </row>
    <row r="636" spans="1:10" s="6" customFormat="1" ht="72" x14ac:dyDescent="0.3">
      <c r="A636" s="6" t="str">
        <f>HYPERLINK("https://grants.gov/search-results-detail/331900","72044021RFA00003")</f>
        <v>72044021RFA00003</v>
      </c>
      <c r="B636" s="6" t="s">
        <v>1724</v>
      </c>
      <c r="C636" s="6" t="s">
        <v>1485</v>
      </c>
      <c r="D636" s="6" t="s">
        <v>1486</v>
      </c>
      <c r="F636" s="8">
        <v>14200000</v>
      </c>
      <c r="G636" s="8">
        <v>0</v>
      </c>
      <c r="H636" s="6">
        <v>1</v>
      </c>
      <c r="I636" s="6" t="s">
        <v>1631</v>
      </c>
      <c r="J636" s="6" t="s">
        <v>1725</v>
      </c>
    </row>
    <row r="637" spans="1:10" s="6" customFormat="1" ht="72" x14ac:dyDescent="0.3">
      <c r="A637" s="6" t="str">
        <f>HYPERLINK("https://grants.gov/search-results-detail/331032","72044021RFA00002")</f>
        <v>72044021RFA00002</v>
      </c>
      <c r="B637" s="6" t="s">
        <v>1731</v>
      </c>
      <c r="C637" s="6" t="s">
        <v>1485</v>
      </c>
      <c r="D637" s="6" t="s">
        <v>1486</v>
      </c>
      <c r="F637" s="8">
        <v>11300000</v>
      </c>
      <c r="G637" s="8">
        <v>0</v>
      </c>
      <c r="H637" s="6">
        <v>1</v>
      </c>
      <c r="I637" s="6" t="s">
        <v>48</v>
      </c>
      <c r="J637" s="6" t="s">
        <v>1732</v>
      </c>
    </row>
    <row r="638" spans="1:10" s="6" customFormat="1" ht="187.2" x14ac:dyDescent="0.3">
      <c r="A638" s="6" t="str">
        <f>HYPERLINK("https://grants.gov/search-results-detail/330715","72044021RFA00001")</f>
        <v>72044021RFA00001</v>
      </c>
      <c r="B638" s="6" t="s">
        <v>1736</v>
      </c>
      <c r="C638" s="6" t="s">
        <v>1485</v>
      </c>
      <c r="D638" s="6" t="s">
        <v>1486</v>
      </c>
      <c r="F638" s="8">
        <v>15000000</v>
      </c>
      <c r="G638" s="8">
        <v>0</v>
      </c>
      <c r="H638" s="6">
        <v>1</v>
      </c>
      <c r="I638" s="6" t="s">
        <v>48</v>
      </c>
      <c r="J638" s="6" t="s">
        <v>1737</v>
      </c>
    </row>
    <row r="639" spans="1:10" s="6" customFormat="1" ht="172.8" x14ac:dyDescent="0.3">
      <c r="A639" s="6" t="str">
        <f>HYPERLINK("https://grants.gov/search-results-detail/330377","DRAFTPD-REDUCINGPOLLUTION")</f>
        <v>DRAFTPD-REDUCINGPOLLUTION</v>
      </c>
      <c r="B639" s="6" t="s">
        <v>1731</v>
      </c>
      <c r="C639" s="6" t="s">
        <v>1485</v>
      </c>
      <c r="D639" s="6" t="s">
        <v>1486</v>
      </c>
      <c r="F639" s="8"/>
      <c r="G639" s="8"/>
      <c r="H639" s="6">
        <v>1</v>
      </c>
      <c r="I639" s="6" t="s">
        <v>48</v>
      </c>
      <c r="J639" s="6" t="s">
        <v>1741</v>
      </c>
    </row>
    <row r="640" spans="1:10" s="6" customFormat="1" ht="187.2" x14ac:dyDescent="0.3">
      <c r="A640" s="6" t="str">
        <f>HYPERLINK("https://grants.gov/search-results-detail/330363","DRAFTPD-HIGHEREDUCATION")</f>
        <v>DRAFTPD-HIGHEREDUCATION</v>
      </c>
      <c r="B640" s="6" t="s">
        <v>1724</v>
      </c>
      <c r="C640" s="6" t="s">
        <v>1485</v>
      </c>
      <c r="D640" s="6" t="s">
        <v>1486</v>
      </c>
      <c r="F640" s="8"/>
      <c r="G640" s="8"/>
      <c r="H640" s="6">
        <v>1</v>
      </c>
      <c r="I640" s="6" t="s">
        <v>48</v>
      </c>
      <c r="J640" s="6" t="s">
        <v>1742</v>
      </c>
    </row>
    <row r="641" spans="1:10" s="6" customFormat="1" ht="201.6" x14ac:dyDescent="0.3">
      <c r="A641" s="6" t="str">
        <f>HYPERLINK("https://grants.gov/search-results-detail/329769","DRAFTPD-CWT")</f>
        <v>DRAFTPD-CWT</v>
      </c>
      <c r="B641" s="6" t="s">
        <v>1752</v>
      </c>
      <c r="C641" s="6" t="s">
        <v>1485</v>
      </c>
      <c r="D641" s="6" t="s">
        <v>1486</v>
      </c>
      <c r="F641" s="8">
        <v>16000000</v>
      </c>
      <c r="G641" s="8">
        <v>14000000</v>
      </c>
      <c r="H641" s="6">
        <v>1</v>
      </c>
      <c r="I641" s="6" t="s">
        <v>48</v>
      </c>
      <c r="J641" s="6" t="s">
        <v>1753</v>
      </c>
    </row>
    <row r="642" spans="1:10" s="6" customFormat="1" ht="28.8" x14ac:dyDescent="0.3">
      <c r="A642" s="6" t="str">
        <f>HYPERLINK("https://grants.gov/search-results-detail/324942","72044020RFA00004")</f>
        <v>72044020RFA00004</v>
      </c>
      <c r="B642" s="6" t="s">
        <v>1795</v>
      </c>
      <c r="C642" s="6" t="s">
        <v>1485</v>
      </c>
      <c r="D642" s="6" t="s">
        <v>1486</v>
      </c>
      <c r="F642" s="8">
        <v>38000000</v>
      </c>
      <c r="G642" s="8">
        <v>1</v>
      </c>
      <c r="H642" s="6">
        <v>1</v>
      </c>
      <c r="I642" s="6" t="s">
        <v>48</v>
      </c>
      <c r="J642" s="6" t="s">
        <v>1796</v>
      </c>
    </row>
    <row r="643" spans="1:10" s="6" customFormat="1" ht="216" x14ac:dyDescent="0.3">
      <c r="A643" s="6" t="str">
        <f>HYPERLINK("https://grants.gov/search-results-detail/357833","72064125RFA00001")</f>
        <v>72064125RFA00001</v>
      </c>
      <c r="B643" s="6" t="s">
        <v>720</v>
      </c>
      <c r="C643" s="6" t="s">
        <v>721</v>
      </c>
      <c r="D643" s="6" t="s">
        <v>722</v>
      </c>
      <c r="E643" s="7">
        <v>45709</v>
      </c>
      <c r="F643" s="8">
        <v>9999862</v>
      </c>
      <c r="G643" s="8">
        <v>9999862</v>
      </c>
      <c r="H643" s="6">
        <v>1</v>
      </c>
      <c r="I643" s="6" t="s">
        <v>723</v>
      </c>
      <c r="J643" s="6" t="s">
        <v>724</v>
      </c>
    </row>
    <row r="644" spans="1:10" s="6" customFormat="1" ht="273.60000000000002" x14ac:dyDescent="0.3">
      <c r="A644" s="6" t="str">
        <f>HYPERLINK("https://grants.gov/search-results-detail/356147","72062424RFA00010")</f>
        <v>72062424RFA00010</v>
      </c>
      <c r="B644" s="6" t="s">
        <v>1247</v>
      </c>
      <c r="C644" s="6" t="s">
        <v>721</v>
      </c>
      <c r="D644" s="6" t="s">
        <v>722</v>
      </c>
      <c r="F644" s="8">
        <v>5000000</v>
      </c>
      <c r="G644" s="8">
        <v>5000000</v>
      </c>
      <c r="H644" s="6">
        <v>1</v>
      </c>
      <c r="I644" s="6" t="s">
        <v>1248</v>
      </c>
      <c r="J644" s="6" t="s">
        <v>1249</v>
      </c>
    </row>
    <row r="645" spans="1:10" s="6" customFormat="1" ht="273.60000000000002" x14ac:dyDescent="0.3">
      <c r="A645" s="6" t="str">
        <f>HYPERLINK("https://grants.gov/search-results-detail/356146","72062424RFA00009")</f>
        <v>72062424RFA00009</v>
      </c>
      <c r="B645" s="6" t="s">
        <v>1250</v>
      </c>
      <c r="C645" s="6" t="s">
        <v>721</v>
      </c>
      <c r="D645" s="6" t="s">
        <v>722</v>
      </c>
      <c r="F645" s="8">
        <v>5000000</v>
      </c>
      <c r="G645" s="8">
        <v>5000000</v>
      </c>
      <c r="H645" s="6">
        <v>1</v>
      </c>
      <c r="I645" s="6" t="s">
        <v>1251</v>
      </c>
      <c r="J645" s="6" t="s">
        <v>1252</v>
      </c>
    </row>
    <row r="646" spans="1:10" s="6" customFormat="1" ht="409.6" x14ac:dyDescent="0.3">
      <c r="A646" s="6" t="str">
        <f>HYPERLINK("https://grants.gov/search-results-detail/281959","PRE-SOLICITATION-624-16-000001")</f>
        <v>PRE-SOLICITATION-624-16-000001</v>
      </c>
      <c r="B646" s="6" t="s">
        <v>1912</v>
      </c>
      <c r="C646" s="6" t="s">
        <v>721</v>
      </c>
      <c r="D646" s="6" t="s">
        <v>722</v>
      </c>
      <c r="F646" s="8">
        <v>25000000</v>
      </c>
      <c r="G646" s="8">
        <v>15000000</v>
      </c>
      <c r="H646" s="6">
        <v>1</v>
      </c>
      <c r="I646" s="6" t="s">
        <v>1913</v>
      </c>
      <c r="J646" s="6" t="s">
        <v>1914</v>
      </c>
    </row>
    <row r="647" spans="1:10" s="6" customFormat="1" ht="409.6" x14ac:dyDescent="0.3">
      <c r="A647" s="6" t="str">
        <f>HYPERLINK("https://grants.gov/search-results-detail/358005","72029425APS00001")</f>
        <v>72029425APS00001</v>
      </c>
      <c r="B647" s="6" t="s">
        <v>535</v>
      </c>
      <c r="C647" s="6" t="s">
        <v>536</v>
      </c>
      <c r="D647" s="6" t="s">
        <v>537</v>
      </c>
      <c r="E647" s="7">
        <v>45720</v>
      </c>
      <c r="F647" s="8">
        <v>5000000</v>
      </c>
      <c r="G647" s="8">
        <v>250000</v>
      </c>
      <c r="I647" s="6" t="s">
        <v>538</v>
      </c>
      <c r="J647" s="6" t="s">
        <v>539</v>
      </c>
    </row>
    <row r="648" spans="1:10" s="6" customFormat="1" ht="288" x14ac:dyDescent="0.3">
      <c r="A648" s="6" t="str">
        <f>HYPERLINK("https://grants.gov/search-results-detail/300980","72029418RFA00003")</f>
        <v>72029418RFA00003</v>
      </c>
      <c r="B648" s="6" t="s">
        <v>1872</v>
      </c>
      <c r="C648" s="6" t="s">
        <v>536</v>
      </c>
      <c r="D648" s="6" t="s">
        <v>537</v>
      </c>
      <c r="F648" s="8">
        <v>9000000</v>
      </c>
      <c r="G648" s="8">
        <v>0</v>
      </c>
      <c r="I648" s="6" t="s">
        <v>1873</v>
      </c>
      <c r="J648" s="6" t="s">
        <v>1874</v>
      </c>
    </row>
    <row r="649" spans="1:10" s="6" customFormat="1" ht="409.6" x14ac:dyDescent="0.3">
      <c r="A649" s="6" t="str">
        <f>HYPERLINK("https://grants.gov/search-results-detail/175614","RFA-294-12-000002")</f>
        <v>RFA-294-12-000002</v>
      </c>
      <c r="B649" s="6" t="s">
        <v>1982</v>
      </c>
      <c r="C649" s="6" t="s">
        <v>536</v>
      </c>
      <c r="D649" s="6" t="s">
        <v>537</v>
      </c>
      <c r="F649" s="8">
        <v>20000000</v>
      </c>
      <c r="G649" s="8">
        <v>4000000</v>
      </c>
      <c r="H649" s="6">
        <v>1</v>
      </c>
      <c r="I649" s="6" t="s">
        <v>1983</v>
      </c>
      <c r="J649" s="6" t="s">
        <v>1984</v>
      </c>
    </row>
    <row r="650" spans="1:10" s="6" customFormat="1" ht="403.2" x14ac:dyDescent="0.3">
      <c r="A650" s="6" t="str">
        <f>HYPERLINK("https://grants.gov/search-results-detail/55065","RFA294-2010-117")</f>
        <v>RFA294-2010-117</v>
      </c>
      <c r="B650" s="6" t="s">
        <v>2015</v>
      </c>
      <c r="C650" s="6" t="s">
        <v>536</v>
      </c>
      <c r="D650" s="6" t="s">
        <v>537</v>
      </c>
      <c r="F650" s="8">
        <v>100000000</v>
      </c>
      <c r="G650" s="8">
        <v>30800000</v>
      </c>
      <c r="H650" s="6">
        <v>1</v>
      </c>
      <c r="I650" s="6" t="s">
        <v>2016</v>
      </c>
      <c r="J650" s="6" t="s">
        <v>2017</v>
      </c>
    </row>
    <row r="651" spans="1:10" s="6" customFormat="1" ht="409.6" x14ac:dyDescent="0.3">
      <c r="A651" s="6" t="str">
        <f>HYPERLINK("https://grants.gov/search-results-detail/54170","RFA294-2010-115")</f>
        <v>RFA294-2010-115</v>
      </c>
      <c r="B651" s="6" t="s">
        <v>2018</v>
      </c>
      <c r="C651" s="6" t="s">
        <v>536</v>
      </c>
      <c r="D651" s="6" t="s">
        <v>537</v>
      </c>
      <c r="F651" s="8">
        <v>18000000</v>
      </c>
      <c r="G651" s="8">
        <v>6000000</v>
      </c>
      <c r="H651" s="6">
        <v>1</v>
      </c>
      <c r="I651" s="6" t="s">
        <v>2019</v>
      </c>
      <c r="J651" s="6" t="s">
        <v>2020</v>
      </c>
    </row>
    <row r="652" spans="1:10" s="6" customFormat="1" ht="409.6" x14ac:dyDescent="0.3">
      <c r="A652" s="6" t="str">
        <f>HYPERLINK("https://grants.gov/search-results-detail/53806","RFA294-2010-113")</f>
        <v>RFA294-2010-113</v>
      </c>
      <c r="B652" s="6" t="s">
        <v>2021</v>
      </c>
      <c r="C652" s="6" t="s">
        <v>536</v>
      </c>
      <c r="D652" s="6" t="s">
        <v>537</v>
      </c>
      <c r="F652" s="8">
        <v>100000000</v>
      </c>
      <c r="G652" s="8">
        <v>15000000</v>
      </c>
      <c r="H652" s="6">
        <v>1</v>
      </c>
      <c r="I652" s="6" t="s">
        <v>2022</v>
      </c>
      <c r="J652" s="6" t="s">
        <v>2023</v>
      </c>
    </row>
    <row r="653" spans="1:10" s="6" customFormat="1" ht="144" x14ac:dyDescent="0.3">
      <c r="A653" s="6" t="str">
        <f>HYPERLINK("https://grants.gov/search-results-detail/358257","USDA-AMS-TM-BPMGP-G-25-0001")</f>
        <v>USDA-AMS-TM-BPMGP-G-25-0001</v>
      </c>
      <c r="B653" s="6" t="s">
        <v>220</v>
      </c>
      <c r="C653" s="6" t="s">
        <v>221</v>
      </c>
      <c r="D653" s="6" t="s">
        <v>222</v>
      </c>
      <c r="E653" s="7">
        <v>45742</v>
      </c>
      <c r="F653" s="8">
        <v>2000000</v>
      </c>
      <c r="G653" s="8">
        <v>500000</v>
      </c>
      <c r="H653" s="6">
        <v>2</v>
      </c>
      <c r="I653" s="6" t="s">
        <v>223</v>
      </c>
      <c r="J653" s="6" t="s">
        <v>224</v>
      </c>
    </row>
    <row r="654" spans="1:10" s="6" customFormat="1" ht="409.6" x14ac:dyDescent="0.3">
      <c r="A654" s="6" t="str">
        <f>HYPERLINK("https://grants.gov/search-results-detail/357219","USDA-FS-2024-CWDG-NEMW")</f>
        <v>USDA-FS-2024-CWDG-NEMW</v>
      </c>
      <c r="B654" s="6" t="s">
        <v>1042</v>
      </c>
      <c r="C654" s="6" t="s">
        <v>1043</v>
      </c>
      <c r="D654" s="6" t="s">
        <v>1044</v>
      </c>
      <c r="E654" s="7">
        <v>45716</v>
      </c>
      <c r="F654" s="8">
        <v>10000000</v>
      </c>
      <c r="G654" s="8">
        <v>0</v>
      </c>
      <c r="H654" s="6">
        <v>100</v>
      </c>
      <c r="I654" s="6" t="s">
        <v>735</v>
      </c>
      <c r="J654" s="6" t="s">
        <v>1045</v>
      </c>
    </row>
    <row r="655" spans="1:10" s="6" customFormat="1" ht="409.6" x14ac:dyDescent="0.3">
      <c r="A655" s="6" t="str">
        <f>HYPERLINK("https://grants.gov/search-results-detail/357222","USDA-FS-2024-CWDG-CWSF")</f>
        <v>USDA-FS-2024-CWDG-CWSF</v>
      </c>
      <c r="B655" s="6" t="s">
        <v>1046</v>
      </c>
      <c r="C655" s="6" t="s">
        <v>1043</v>
      </c>
      <c r="D655" s="6" t="s">
        <v>1044</v>
      </c>
      <c r="E655" s="7">
        <v>45716</v>
      </c>
      <c r="F655" s="8">
        <v>10000000</v>
      </c>
      <c r="G655" s="8">
        <v>0</v>
      </c>
      <c r="H655" s="6">
        <v>100</v>
      </c>
      <c r="I655" s="6" t="s">
        <v>40</v>
      </c>
      <c r="J655" s="6" t="s">
        <v>1045</v>
      </c>
    </row>
    <row r="656" spans="1:10" s="6" customFormat="1" ht="409.6" x14ac:dyDescent="0.3">
      <c r="A656" s="6" t="str">
        <f>HYPERLINK("https://grants.gov/search-results-detail/357221","USDA-FS-2024-CWDG-SGSF")</f>
        <v>USDA-FS-2024-CWDG-SGSF</v>
      </c>
      <c r="B656" s="6" t="s">
        <v>1047</v>
      </c>
      <c r="C656" s="6" t="s">
        <v>1043</v>
      </c>
      <c r="D656" s="6" t="s">
        <v>1044</v>
      </c>
      <c r="E656" s="7">
        <v>45716</v>
      </c>
      <c r="F656" s="8">
        <v>10000000</v>
      </c>
      <c r="G656" s="8">
        <v>0</v>
      </c>
      <c r="H656" s="6">
        <v>100</v>
      </c>
      <c r="I656" s="6" t="s">
        <v>40</v>
      </c>
      <c r="J656" s="6" t="s">
        <v>1045</v>
      </c>
    </row>
    <row r="657" spans="1:10" s="6" customFormat="1" ht="409.6" x14ac:dyDescent="0.3">
      <c r="A657" s="6" t="str">
        <f>HYPERLINK("https://grants.gov/search-results-detail/357223","USDA-FS-2024-CWDG-TRIBES")</f>
        <v>USDA-FS-2024-CWDG-TRIBES</v>
      </c>
      <c r="B657" s="6" t="s">
        <v>1048</v>
      </c>
      <c r="C657" s="6" t="s">
        <v>1043</v>
      </c>
      <c r="D657" s="6" t="s">
        <v>1044</v>
      </c>
      <c r="E657" s="7">
        <v>45716</v>
      </c>
      <c r="F657" s="8">
        <v>10000000</v>
      </c>
      <c r="G657" s="8">
        <v>0</v>
      </c>
      <c r="H657" s="6">
        <v>100</v>
      </c>
      <c r="I657" s="6" t="s">
        <v>1049</v>
      </c>
      <c r="J657" s="6" t="s">
        <v>1045</v>
      </c>
    </row>
    <row r="658" spans="1:10" s="6" customFormat="1" ht="288" x14ac:dyDescent="0.3">
      <c r="A658" s="6" t="str">
        <f>HYPERLINK("https://grants.gov/search-results-detail/358173","USDA-NRCS-MS-MULTI-NOFO0001420")</f>
        <v>USDA-NRCS-MS-MULTI-NOFO0001420</v>
      </c>
      <c r="B658" s="6" t="s">
        <v>304</v>
      </c>
      <c r="C658" s="6" t="s">
        <v>305</v>
      </c>
      <c r="D658" s="6" t="s">
        <v>306</v>
      </c>
      <c r="E658" s="7">
        <v>45732</v>
      </c>
      <c r="F658" s="8">
        <v>999999</v>
      </c>
      <c r="G658" s="8">
        <v>50000</v>
      </c>
      <c r="H658" s="6">
        <v>25</v>
      </c>
      <c r="I658" s="6" t="s">
        <v>37</v>
      </c>
      <c r="J658" s="6" t="s">
        <v>307</v>
      </c>
    </row>
    <row r="659" spans="1:10" s="6" customFormat="1" ht="115.2" x14ac:dyDescent="0.3">
      <c r="A659" s="6" t="str">
        <f>HYPERLINK("https://grants.gov/search-results-detail/356757","RDBCP-RBDG-2025")</f>
        <v>RDBCP-RBDG-2025</v>
      </c>
      <c r="B659" s="6" t="s">
        <v>1155</v>
      </c>
      <c r="C659" s="6" t="s">
        <v>100</v>
      </c>
      <c r="D659" s="6" t="s">
        <v>101</v>
      </c>
      <c r="E659" s="7">
        <v>45716</v>
      </c>
      <c r="F659" s="8"/>
      <c r="G659" s="8"/>
      <c r="H659" s="6">
        <v>450</v>
      </c>
      <c r="I659" s="6" t="s">
        <v>1156</v>
      </c>
      <c r="J659" s="6" t="s">
        <v>1157</v>
      </c>
    </row>
    <row r="660" spans="1:10" s="6" customFormat="1" ht="409.6" x14ac:dyDescent="0.3">
      <c r="A660" s="6" t="str">
        <f>HYPERLINK("https://grants.gov/search-results-detail/358236","RDBCP-VAPG-2025")</f>
        <v>RDBCP-VAPG-2025</v>
      </c>
      <c r="B660" s="6" t="s">
        <v>99</v>
      </c>
      <c r="C660" s="6" t="s">
        <v>100</v>
      </c>
      <c r="D660" s="6" t="s">
        <v>101</v>
      </c>
      <c r="E660" s="7">
        <v>45764</v>
      </c>
      <c r="F660" s="8">
        <v>250000</v>
      </c>
      <c r="G660" s="8">
        <v>0</v>
      </c>
      <c r="H660" s="6">
        <v>190</v>
      </c>
      <c r="I660" s="6" t="s">
        <v>102</v>
      </c>
      <c r="J660" s="6" t="s">
        <v>103</v>
      </c>
    </row>
    <row r="661" spans="1:10" s="6" customFormat="1" ht="72" x14ac:dyDescent="0.3">
      <c r="A661" s="6" t="str">
        <f>HYPERLINK("https://grants.gov/search-results-detail/310029","RDBCP-REAP-RES-EEI-2019")</f>
        <v>RDBCP-REAP-RES-EEI-2019</v>
      </c>
      <c r="B661" s="6" t="s">
        <v>1834</v>
      </c>
      <c r="C661" s="6" t="s">
        <v>100</v>
      </c>
      <c r="D661" s="6" t="s">
        <v>101</v>
      </c>
      <c r="F661" s="8">
        <v>500000</v>
      </c>
      <c r="G661" s="8">
        <v>1500</v>
      </c>
      <c r="H661" s="6">
        <v>1000</v>
      </c>
      <c r="I661" s="6" t="s">
        <v>1835</v>
      </c>
      <c r="J661" s="6" t="s">
        <v>1836</v>
      </c>
    </row>
    <row r="662" spans="1:10" s="6" customFormat="1" ht="115.2" x14ac:dyDescent="0.3">
      <c r="A662" s="6" t="str">
        <f>HYPERLINK("https://grants.gov/search-results-detail/279638","RDBCP-REAP-RES-EEI-2016")</f>
        <v>RDBCP-REAP-RES-EEI-2016</v>
      </c>
      <c r="B662" s="6" t="s">
        <v>1834</v>
      </c>
      <c r="C662" s="6" t="s">
        <v>100</v>
      </c>
      <c r="D662" s="6" t="s">
        <v>101</v>
      </c>
      <c r="F662" s="8">
        <v>500000</v>
      </c>
      <c r="G662" s="8">
        <v>1500</v>
      </c>
      <c r="H662" s="6">
        <v>1000</v>
      </c>
      <c r="I662" s="6" t="s">
        <v>1919</v>
      </c>
      <c r="J662" s="6" t="s">
        <v>1920</v>
      </c>
    </row>
    <row r="663" spans="1:10" s="6" customFormat="1" ht="316.8" x14ac:dyDescent="0.3">
      <c r="A663" s="6" t="str">
        <f>HYPERLINK("https://grants.gov/search-results-detail/348870","USDA-RHS-CFDG-2023")</f>
        <v>USDA-RHS-CFDG-2023</v>
      </c>
      <c r="B663" s="6" t="s">
        <v>1451</v>
      </c>
      <c r="C663" s="6" t="s">
        <v>1452</v>
      </c>
      <c r="D663" s="6" t="s">
        <v>1453</v>
      </c>
      <c r="F663" s="8">
        <v>10</v>
      </c>
      <c r="G663" s="8">
        <v>1</v>
      </c>
      <c r="H663" s="6">
        <v>30</v>
      </c>
      <c r="I663" s="6" t="s">
        <v>1454</v>
      </c>
      <c r="J663" s="6" t="s">
        <v>1455</v>
      </c>
    </row>
    <row r="664" spans="1:10" s="6" customFormat="1" ht="187.2" x14ac:dyDescent="0.3">
      <c r="A664" s="6" t="str">
        <f>HYPERLINK("https://grants.gov/search-results-detail/357929","RD-RUS-HECG25")</f>
        <v>RD-RUS-HECG25</v>
      </c>
      <c r="B664" s="6" t="s">
        <v>598</v>
      </c>
      <c r="C664" s="6" t="s">
        <v>519</v>
      </c>
      <c r="D664" s="6" t="s">
        <v>520</v>
      </c>
      <c r="E664" s="7">
        <v>45716</v>
      </c>
      <c r="F664" s="8">
        <v>3000000</v>
      </c>
      <c r="G664" s="8">
        <v>100000</v>
      </c>
      <c r="H664" s="6">
        <v>10</v>
      </c>
      <c r="I664" s="6" t="s">
        <v>599</v>
      </c>
      <c r="J664" s="6" t="s">
        <v>600</v>
      </c>
    </row>
    <row r="665" spans="1:10" s="6" customFormat="1" ht="230.4" x14ac:dyDescent="0.3">
      <c r="A665" s="6" t="str">
        <f>HYPERLINK("https://grants.gov/search-results-detail/357913","RDRUS-25-DWS")</f>
        <v>RDRUS-25-DWS</v>
      </c>
      <c r="B665" s="6" t="s">
        <v>573</v>
      </c>
      <c r="C665" s="6" t="s">
        <v>519</v>
      </c>
      <c r="D665" s="6" t="s">
        <v>520</v>
      </c>
      <c r="E665" s="7">
        <v>45719</v>
      </c>
      <c r="F665" s="8">
        <v>0</v>
      </c>
      <c r="G665" s="8">
        <v>0</v>
      </c>
      <c r="H665" s="6">
        <v>10</v>
      </c>
      <c r="I665" s="6" t="s">
        <v>574</v>
      </c>
      <c r="J665" s="6" t="s">
        <v>575</v>
      </c>
    </row>
    <row r="666" spans="1:10" s="6" customFormat="1" ht="201.6" x14ac:dyDescent="0.3">
      <c r="A666" s="6" t="str">
        <f>HYPERLINK("https://grants.gov/search-results-detail/358016","RUS-25-01-DLT")</f>
        <v>RUS-25-01-DLT</v>
      </c>
      <c r="B666" s="6" t="s">
        <v>518</v>
      </c>
      <c r="C666" s="6" t="s">
        <v>519</v>
      </c>
      <c r="D666" s="6" t="s">
        <v>520</v>
      </c>
      <c r="E666" s="7">
        <v>45722</v>
      </c>
      <c r="F666" s="8">
        <v>1000000</v>
      </c>
      <c r="G666" s="8">
        <v>50000</v>
      </c>
      <c r="H666" s="6">
        <v>75</v>
      </c>
      <c r="I666" s="6" t="s">
        <v>40</v>
      </c>
      <c r="J666" s="6" t="s">
        <v>521</v>
      </c>
    </row>
    <row r="667" spans="1:10" s="6" customFormat="1" ht="409.6" x14ac:dyDescent="0.3">
      <c r="A667" s="6" t="str">
        <f>HYPERLINK("https://grants.gov/search-results-detail/348809","RD-RUS-CY22DISASTER")</f>
        <v>RD-RUS-CY22DISASTER</v>
      </c>
      <c r="B667" s="6" t="s">
        <v>1463</v>
      </c>
      <c r="C667" s="6" t="s">
        <v>519</v>
      </c>
      <c r="D667" s="6" t="s">
        <v>520</v>
      </c>
      <c r="F667" s="8">
        <v>0</v>
      </c>
      <c r="G667" s="8">
        <v>0</v>
      </c>
      <c r="I667" s="6" t="s">
        <v>1464</v>
      </c>
      <c r="J667" s="6" t="s">
        <v>1465</v>
      </c>
    </row>
    <row r="668" spans="1:10" s="6" customFormat="1" ht="115.2" x14ac:dyDescent="0.3">
      <c r="A668" s="6" t="str">
        <f>HYPERLINK("https://grants.gov/search-results-detail/357953","O-BJA-2025-172297")</f>
        <v>O-BJA-2025-172297</v>
      </c>
      <c r="B668" s="6" t="s">
        <v>590</v>
      </c>
      <c r="C668" s="6" t="s">
        <v>491</v>
      </c>
      <c r="D668" s="6" t="s">
        <v>492</v>
      </c>
      <c r="E668" s="7">
        <v>45712</v>
      </c>
      <c r="F668" s="8">
        <v>1750000</v>
      </c>
      <c r="G668" s="8">
        <v>0</v>
      </c>
      <c r="H668" s="6">
        <v>1</v>
      </c>
      <c r="I668" s="6" t="s">
        <v>493</v>
      </c>
      <c r="J668" s="6" t="s">
        <v>591</v>
      </c>
    </row>
    <row r="669" spans="1:10" s="6" customFormat="1" ht="129.6" x14ac:dyDescent="0.3">
      <c r="A669" s="6" t="str">
        <f>HYPERLINK("https://grants.gov/search-results-detail/358044","O-BJA-2025-172308")</f>
        <v>O-BJA-2025-172308</v>
      </c>
      <c r="B669" s="6" t="s">
        <v>490</v>
      </c>
      <c r="C669" s="6" t="s">
        <v>491</v>
      </c>
      <c r="D669" s="6" t="s">
        <v>492</v>
      </c>
      <c r="E669" s="7">
        <v>45728</v>
      </c>
      <c r="F669" s="8">
        <v>4000000</v>
      </c>
      <c r="G669" s="8">
        <v>0</v>
      </c>
      <c r="H669" s="6">
        <v>1</v>
      </c>
      <c r="I669" s="6" t="s">
        <v>493</v>
      </c>
      <c r="J669" s="6" t="s">
        <v>494</v>
      </c>
    </row>
    <row r="670" spans="1:10" s="6" customFormat="1" ht="201.6" x14ac:dyDescent="0.3">
      <c r="A670" s="6" t="str">
        <f>HYPERLINK("https://grants.gov/search-results-detail/358054","O-BJA-2025-172310")</f>
        <v>O-BJA-2025-172310</v>
      </c>
      <c r="B670" s="6" t="s">
        <v>512</v>
      </c>
      <c r="C670" s="6" t="s">
        <v>491</v>
      </c>
      <c r="D670" s="6" t="s">
        <v>492</v>
      </c>
      <c r="E670" s="7">
        <v>45728</v>
      </c>
      <c r="F670" s="8">
        <v>1500000</v>
      </c>
      <c r="G670" s="8">
        <v>0</v>
      </c>
      <c r="H670" s="6">
        <v>3</v>
      </c>
      <c r="I670" s="6" t="s">
        <v>513</v>
      </c>
      <c r="J670" s="6" t="s">
        <v>514</v>
      </c>
    </row>
    <row r="671" spans="1:10" s="6" customFormat="1" ht="259.2" x14ac:dyDescent="0.3">
      <c r="A671" s="6" t="str">
        <f>HYPERLINK("https://grants.gov/search-results-detail/357856","O-BJA-2025-172288")</f>
        <v>O-BJA-2025-172288</v>
      </c>
      <c r="B671" s="6" t="s">
        <v>707</v>
      </c>
      <c r="C671" s="6" t="s">
        <v>491</v>
      </c>
      <c r="D671" s="6" t="s">
        <v>492</v>
      </c>
      <c r="E671" s="7">
        <v>45734</v>
      </c>
      <c r="F671" s="8">
        <v>5600000</v>
      </c>
      <c r="G671" s="8">
        <v>0</v>
      </c>
      <c r="I671" s="6" t="s">
        <v>708</v>
      </c>
      <c r="J671" s="6" t="s">
        <v>709</v>
      </c>
    </row>
    <row r="672" spans="1:10" s="6" customFormat="1" ht="129.6" x14ac:dyDescent="0.3">
      <c r="A672" s="6" t="str">
        <f>HYPERLINK("https://grants.gov/search-results-detail/358321","O-OVC-2025-172320")</f>
        <v>O-OVC-2025-172320</v>
      </c>
      <c r="B672" s="6" t="s">
        <v>145</v>
      </c>
      <c r="C672" s="6" t="s">
        <v>146</v>
      </c>
      <c r="D672" s="6" t="s">
        <v>147</v>
      </c>
      <c r="E672" s="7">
        <v>45786</v>
      </c>
      <c r="F672" s="8">
        <v>441989</v>
      </c>
      <c r="G672" s="8">
        <v>0</v>
      </c>
      <c r="H672" s="6">
        <v>220</v>
      </c>
      <c r="I672" s="6" t="s">
        <v>148</v>
      </c>
      <c r="J672" s="6" t="s">
        <v>149</v>
      </c>
    </row>
    <row r="673" spans="1:10" s="6" customFormat="1" ht="409.6" x14ac:dyDescent="0.3">
      <c r="A673" s="6" t="str">
        <f>HYPERLINK("https://grants.gov/search-results-detail/358083","O-SMART-2025-172309")</f>
        <v>O-SMART-2025-172309</v>
      </c>
      <c r="B673" s="6" t="s">
        <v>458</v>
      </c>
      <c r="C673" s="6" t="s">
        <v>289</v>
      </c>
      <c r="D673" s="6" t="s">
        <v>290</v>
      </c>
      <c r="E673" s="7">
        <v>45712</v>
      </c>
      <c r="F673" s="8">
        <v>1000000</v>
      </c>
      <c r="G673" s="8">
        <v>1</v>
      </c>
      <c r="H673" s="6">
        <v>1</v>
      </c>
      <c r="I673" s="6" t="s">
        <v>459</v>
      </c>
      <c r="J673" s="6" t="s">
        <v>460</v>
      </c>
    </row>
    <row r="674" spans="1:10" s="6" customFormat="1" ht="409.6" x14ac:dyDescent="0.3">
      <c r="A674" s="6" t="str">
        <f>HYPERLINK("https://grants.gov/search-results-detail/358219","O-SMART-2025-172307")</f>
        <v>O-SMART-2025-172307</v>
      </c>
      <c r="B674" s="6" t="s">
        <v>288</v>
      </c>
      <c r="C674" s="6" t="s">
        <v>289</v>
      </c>
      <c r="D674" s="6" t="s">
        <v>290</v>
      </c>
      <c r="E674" s="7">
        <v>45719</v>
      </c>
      <c r="F674" s="8">
        <v>400000</v>
      </c>
      <c r="G674" s="8">
        <v>0</v>
      </c>
      <c r="H674" s="6">
        <v>50</v>
      </c>
      <c r="I674" s="6" t="s">
        <v>291</v>
      </c>
      <c r="J674" s="6" t="s">
        <v>292</v>
      </c>
    </row>
    <row r="675" spans="1:10" s="6" customFormat="1" ht="100.8" x14ac:dyDescent="0.3">
      <c r="A675" s="6" t="str">
        <f>HYPERLINK("https://grants.gov/search-results-detail/358094","CDFI-2025-NACA")</f>
        <v>CDFI-2025-NACA</v>
      </c>
      <c r="B675" s="6" t="s">
        <v>201</v>
      </c>
      <c r="C675" s="6" t="s">
        <v>202</v>
      </c>
      <c r="D675" s="6" t="s">
        <v>203</v>
      </c>
      <c r="E675" s="7">
        <v>45706</v>
      </c>
      <c r="F675" s="8">
        <v>1500000</v>
      </c>
      <c r="G675" s="8">
        <v>10000</v>
      </c>
      <c r="H675" s="6">
        <v>45</v>
      </c>
      <c r="I675" s="6" t="s">
        <v>204</v>
      </c>
      <c r="J675" s="6" t="s">
        <v>205</v>
      </c>
    </row>
    <row r="676" spans="1:10" s="6" customFormat="1" ht="100.8" x14ac:dyDescent="0.3">
      <c r="A676" s="6" t="str">
        <f>HYPERLINK("https://grants.gov/search-results-detail/358096","CDFI-2025-FATA")</f>
        <v>CDFI-2025-FATA</v>
      </c>
      <c r="B676" s="6" t="s">
        <v>206</v>
      </c>
      <c r="C676" s="6" t="s">
        <v>202</v>
      </c>
      <c r="D676" s="6" t="s">
        <v>203</v>
      </c>
      <c r="E676" s="7">
        <v>45706</v>
      </c>
      <c r="F676" s="8">
        <v>1000000</v>
      </c>
      <c r="G676" s="8">
        <v>10000</v>
      </c>
      <c r="H676" s="6">
        <v>495</v>
      </c>
      <c r="I676" s="6" t="s">
        <v>207</v>
      </c>
      <c r="J676" s="6" t="s">
        <v>208</v>
      </c>
    </row>
    <row r="677" spans="1:10" s="6" customFormat="1" ht="72" x14ac:dyDescent="0.3">
      <c r="A677" s="6" t="str">
        <f>HYPERLINK("https://grants.gov/search-results-detail/333825","36C78621R0028")</f>
        <v>36C78621R0028</v>
      </c>
      <c r="B677" s="6" t="s">
        <v>1699</v>
      </c>
      <c r="C677" s="6" t="s">
        <v>1700</v>
      </c>
      <c r="D677" s="6" t="s">
        <v>1701</v>
      </c>
      <c r="F677" s="8">
        <v>2200000</v>
      </c>
      <c r="G677" s="8">
        <v>0</v>
      </c>
      <c r="H677" s="6">
        <v>10</v>
      </c>
      <c r="I677" s="6" t="s">
        <v>1702</v>
      </c>
      <c r="J677" s="6" t="s">
        <v>1703</v>
      </c>
    </row>
  </sheetData>
  <sortState xmlns:xlrd2="http://schemas.microsoft.com/office/spreadsheetml/2017/richdata2" ref="A3:J677">
    <sortCondition ref="C3:C677"/>
    <sortCondition ref="E3:E67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all_federal_opps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dc:creator>
  <cp:lastModifiedBy>Navarro, Lucas (S&amp;T-Student)</cp:lastModifiedBy>
  <dcterms:created xsi:type="dcterms:W3CDTF">2025-02-13T00:30:06Z</dcterms:created>
  <dcterms:modified xsi:type="dcterms:W3CDTF">2025-02-13T00:32:11Z</dcterms:modified>
</cp:coreProperties>
</file>